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29"/>
  <workbookPr/>
  <mc:AlternateContent xmlns:mc="http://schemas.openxmlformats.org/markup-compatibility/2006">
    <mc:Choice Requires="x15">
      <x15ac:absPath xmlns:x15ac="http://schemas.microsoft.com/office/spreadsheetml/2010/11/ac" url="Z:\Amateur Radio\OVH\Maximum Permissible Exposure\"/>
    </mc:Choice>
  </mc:AlternateContent>
  <xr:revisionPtr revIDLastSave="0" documentId="13_ncr:1_{D4D57127-8640-4084-8B7E-796AD67B85F1}" xr6:coauthVersionLast="47" xr6:coauthVersionMax="47" xr10:uidLastSave="{00000000-0000-0000-0000-000000000000}"/>
  <bookViews>
    <workbookView xWindow="-120" yWindow="-120" windowWidth="29040" windowHeight="15840" tabRatio="899" xr2:uid="{00000000-000D-0000-FFFF-FFFF00000000}"/>
  </bookViews>
  <sheets>
    <sheet name="Initial Determination Worksheet" sheetId="13" r:id="rId1"/>
    <sheet name="Initial Determination Summary" sheetId="7" r:id="rId2"/>
    <sheet name="Routine Evaluation Worksheet" sheetId="5" r:id="rId3"/>
    <sheet name="Routine Evaluation Summary" sheetId="8" r:id="rId4"/>
    <sheet name="Conclusions Worksheet" sheetId="10" r:id="rId5"/>
    <sheet name="Conclusions Summary" sheetId="11" r:id="rId6"/>
    <sheet name="Dropdown List" sheetId="4" r:id="rId7"/>
    <sheet name="Readme" sheetId="12" r:id="rId8"/>
    <sheet name="Password" sheetId="9" r:id="rId9"/>
  </sheets>
  <definedNames>
    <definedName name="AmplifierDescription">'Initial Determination Worksheet'!$B$11</definedName>
    <definedName name="AntennaDescription">'Routine Evaluation Worksheet'!$B$3</definedName>
    <definedName name="AntennaEfficiency">'Routine Evaluation Worksheet'!$B$9</definedName>
    <definedName name="AntennaEfficiencyFactor">'Routine Evaluation Worksheet'!$B$10</definedName>
    <definedName name="AntennaGainControlled">'Initial Determination Worksheet'!#REF!</definedName>
    <definedName name="AntennaGaindBi">'Routine Evaluation Worksheet'!$B$7</definedName>
    <definedName name="AntennaGainLinear">'Routine Evaluation Worksheet'!$B$8</definedName>
    <definedName name="AntennaGainUncontrolled">'Initial Determination Worksheet'!#REF!</definedName>
    <definedName name="AntennaHeightMeters">'Routine Evaluation Worksheet'!$B$5</definedName>
    <definedName name="AntennaHeightWavelengths">'Routine Evaluation Worksheet'!$B$6</definedName>
    <definedName name="AverageAntennaInputPowerW">'Routine Evaluation Worksheet'!$B$19</definedName>
    <definedName name="AverageRadiatedPowermW">'Routine Evaluation Worksheet'!$B$21</definedName>
    <definedName name="AverageRadiatedPowerW">'Routine Evaluation Worksheet'!$B$20</definedName>
    <definedName name="Callsign">'Initial Determination Worksheet'!$B$3</definedName>
    <definedName name="ComplianceControlled">'Initial Determination Worksheet'!$C$39</definedName>
    <definedName name="ComplianceUncontrolled">'Initial Determination Worksheet'!$C$38</definedName>
    <definedName name="CONTROLLED">'Routine Evaluation Worksheet'!$B$38</definedName>
    <definedName name="ControlledFarFieldTest">'Initial Determination Worksheet'!$B$33</definedName>
    <definedName name="DateField">'Initial Determination Worksheet'!$B$9</definedName>
    <definedName name="DistanceControlledFeet">'Initial Determination Worksheet'!$C$27</definedName>
    <definedName name="DistanceControlledMeters">'Initial Determination Worksheet'!$B$27</definedName>
    <definedName name="DistanceUncontrolledFeet">'Initial Determination Worksheet'!$C$26</definedName>
    <definedName name="DistanceUncontrolledMeters">'Initial Determination Worksheet'!$B$26</definedName>
    <definedName name="DutyCycleFactor">'Routine Evaluation Worksheet'!$B$17</definedName>
    <definedName name="EmissionType">'Routine Evaluation Worksheet'!$B$12</definedName>
    <definedName name="EmissionTypeFactor">'Routine Evaluation Worksheet'!$B$13</definedName>
    <definedName name="EstimatedAntennaGain">'Initial Determination Worksheet'!#REF!</definedName>
    <definedName name="EvaluatedBy">'Initial Determination Worksheet'!$B$8</definedName>
    <definedName name="FarFieldTestControlled">'Initial Determination Worksheet'!$E$35</definedName>
    <definedName name="FarFieldTestUncontrolled">'Initial Determination Worksheet'!$E$34</definedName>
    <definedName name="FeedLineComponents">'Initial Determination Worksheet'!$B$19</definedName>
    <definedName name="FeedLineComponentsLoss">'Initial Determination Worksheet'!$B$20</definedName>
    <definedName name="FeedLineLength">'Initial Determination Worksheet'!$B$17</definedName>
    <definedName name="FeedLineLoss">'Initial Determination Worksheet'!$B$18</definedName>
    <definedName name="FeedLineLossSpec">'Initial Determination Worksheet'!$B$16</definedName>
    <definedName name="FeedLineType">'Initial Determination Worksheet'!$B$15</definedName>
    <definedName name="MinDistanceControlledGroundFeet">'Routine Evaluation Worksheet'!$C$25</definedName>
    <definedName name="MinDistanceControlledGroundMeters">'Routine Evaluation Worksheet'!$B$25</definedName>
    <definedName name="MinDistanceControlledNoGroundFeet">'Routine Evaluation Worksheet'!$C$27</definedName>
    <definedName name="MinDistanceControlledNoGroundMeters">'Routine Evaluation Worksheet'!$B$27</definedName>
    <definedName name="MinDistanceUncontrolledGroundFeet">'Routine Evaluation Worksheet'!$C$24</definedName>
    <definedName name="MinDistanceUncontrolledGroundMeters">'Routine Evaluation Worksheet'!$B$24</definedName>
    <definedName name="MinDistanceUncontrolledNoGroundFeet">'Routine Evaluation Worksheet'!$C$26</definedName>
    <definedName name="MinDistanceUncontrolledNoGroundMeters">'Routine Evaluation Worksheet'!$B$26</definedName>
    <definedName name="NearFieldRadiusFeet">'Initial Determination Worksheet'!$C$30</definedName>
    <definedName name="NearFieldRadiusMeters">'Initial Determination Worksheet'!$B$30</definedName>
    <definedName name="PEPAntennadBW">'Initial Determination Worksheet'!$B$22</definedName>
    <definedName name="PEPAntennaW">'Initial Determination Worksheet'!$B$23</definedName>
    <definedName name="PEPOutputdBW">'Initial Determination Worksheet'!$B$13</definedName>
    <definedName name="PEPOutputW">'Initial Determination Worksheet'!$B$12</definedName>
    <definedName name="PFDControlledGround">'Routine Evaluation Worksheet'!$B$33</definedName>
    <definedName name="PFDControlledNoGround">'Routine Evaluation Worksheet'!$B$35</definedName>
    <definedName name="PFDUncontrolledGround">'Routine Evaluation Worksheet'!$B$32</definedName>
    <definedName name="PFDUncontrolledNoGround">'Routine Evaluation Worksheet'!$B$34</definedName>
    <definedName name="_xlnm.Print_Titles" localSheetId="1">'Initial Determination Summary'!$1:$1</definedName>
    <definedName name="_xlnm.Print_Titles" localSheetId="3">'Routine Evaluation Summary'!$1:$1</definedName>
    <definedName name="SelectionConclusion1">'Conclusions Worksheet'!$A$7</definedName>
    <definedName name="SelectionConclusion1A">'Conclusions Worksheet'!$B$11</definedName>
    <definedName name="SelectionConclusion1B">'Conclusions Worksheet'!$B$15</definedName>
    <definedName name="SelectionConclusion1C">'Conclusions Worksheet'!$B$19</definedName>
    <definedName name="SelectionConclusion1CText">'Conclusions Worksheet'!$C$19</definedName>
    <definedName name="SelectionConclusion2">'Conclusions Worksheet'!$A$24</definedName>
    <definedName name="SelectionConclusion2A">'Conclusions Worksheet'!$B$28</definedName>
    <definedName name="SelectionConclusion2B">'Conclusions Worksheet'!$B$32</definedName>
    <definedName name="SelectionConclusion2C">'Conclusions Worksheet'!$B$36</definedName>
    <definedName name="SelectionConclusion2CText">'Conclusions Worksheet'!$C$36</definedName>
    <definedName name="SetupDescription">'Initial Determination Worksheet'!$B$6</definedName>
    <definedName name="SetupNumber">'Initial Determination Worksheet'!$B$5</definedName>
    <definedName name="StationLocation">'Initial Determination Worksheet'!$B$7</definedName>
    <definedName name="ThresholdERPControlled">'Initial Determination Worksheet'!#REF!</definedName>
    <definedName name="ThresholdERPUncontrolled">'Initial Determination Worksheet'!#REF!</definedName>
    <definedName name="TransmitDutyCycle">'Routine Evaluation Worksheet'!$B$16</definedName>
    <definedName name="TransmitOffMinutes">'Routine Evaluation Worksheet'!$B$15</definedName>
    <definedName name="TransmitOnMinutes">'Routine Evaluation Worksheet'!$B$14</definedName>
    <definedName name="TransmitterDescription">'Initial Determination Worksheet'!$B$10</definedName>
    <definedName name="UNCONTROLLED">'Routine Evaluation Worksheet'!$B$39</definedName>
    <definedName name="UncontrolledFarFieldTest">'Initial Determination Worksheet'!$B$32</definedName>
    <definedName name="WavelengthBand">'Initial Determination Worksheet'!$B$4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38" i="11" l="1"/>
  <c r="C22" i="11"/>
  <c r="B6" i="5"/>
  <c r="B22" i="8" s="1"/>
  <c r="C5" i="5"/>
  <c r="B16" i="5"/>
  <c r="B17" i="8" s="1"/>
  <c r="B12" i="8"/>
  <c r="B11" i="8"/>
  <c r="B10" i="8"/>
  <c r="B8" i="8"/>
  <c r="B7" i="8"/>
  <c r="B6" i="8"/>
  <c r="B5" i="8"/>
  <c r="B4" i="8"/>
  <c r="B3" i="8"/>
  <c r="B38" i="8"/>
  <c r="B37" i="8"/>
  <c r="B30" i="5"/>
  <c r="B29" i="5"/>
  <c r="B23" i="8"/>
  <c r="B21" i="8"/>
  <c r="L3" i="4"/>
  <c r="L4" i="4"/>
  <c r="L5" i="4"/>
  <c r="L6" i="4"/>
  <c r="L7" i="4"/>
  <c r="L8" i="4"/>
  <c r="L9" i="4"/>
  <c r="L10" i="4"/>
  <c r="L11" i="4"/>
  <c r="L12" i="4"/>
  <c r="L13" i="4"/>
  <c r="L14" i="4"/>
  <c r="L15" i="4"/>
  <c r="L16" i="4"/>
  <c r="L17" i="4"/>
  <c r="L18" i="4"/>
  <c r="L19" i="4"/>
  <c r="L20" i="4"/>
  <c r="K3" i="4"/>
  <c r="K4" i="4"/>
  <c r="K5" i="4"/>
  <c r="K6" i="4"/>
  <c r="K7" i="4"/>
  <c r="K8" i="4"/>
  <c r="K9" i="4"/>
  <c r="K10" i="4"/>
  <c r="K11" i="4"/>
  <c r="K12" i="4"/>
  <c r="K13" i="4"/>
  <c r="K14" i="4"/>
  <c r="K15" i="4"/>
  <c r="K16" i="4"/>
  <c r="K17" i="4"/>
  <c r="K18" i="4"/>
  <c r="K19" i="4"/>
  <c r="K20" i="4"/>
  <c r="L2" i="4"/>
  <c r="K2" i="4"/>
  <c r="B27" i="7"/>
  <c r="B26" i="7"/>
  <c r="B20" i="7"/>
  <c r="B19" i="7"/>
  <c r="B17" i="7"/>
  <c r="B16" i="7"/>
  <c r="B15" i="7"/>
  <c r="B12" i="7"/>
  <c r="B11" i="7"/>
  <c r="B10" i="7"/>
  <c r="B8" i="7"/>
  <c r="B7" i="7"/>
  <c r="B6" i="7"/>
  <c r="B5" i="7"/>
  <c r="B4" i="7"/>
  <c r="B3" i="7"/>
  <c r="C27" i="13"/>
  <c r="C27" i="7" s="1"/>
  <c r="C26" i="13"/>
  <c r="C29" i="5" s="1"/>
  <c r="C30" i="13"/>
  <c r="C30" i="7" s="1"/>
  <c r="J3" i="4"/>
  <c r="J5" i="4"/>
  <c r="J6" i="4"/>
  <c r="J7" i="4"/>
  <c r="J8" i="4"/>
  <c r="J9" i="4"/>
  <c r="J10" i="4"/>
  <c r="J11" i="4"/>
  <c r="J12" i="4"/>
  <c r="J13" i="4"/>
  <c r="J14" i="4"/>
  <c r="J15" i="4"/>
  <c r="J16" i="4"/>
  <c r="J17" i="4"/>
  <c r="J18" i="4"/>
  <c r="J19" i="4"/>
  <c r="J20" i="4"/>
  <c r="J2" i="4"/>
  <c r="H3" i="4"/>
  <c r="I3" i="4" s="1"/>
  <c r="B30" i="13" s="1"/>
  <c r="B30" i="7" s="1"/>
  <c r="H4" i="4"/>
  <c r="H5" i="4"/>
  <c r="H6" i="4"/>
  <c r="I6" i="4" s="1"/>
  <c r="H7" i="4"/>
  <c r="I7" i="4" s="1"/>
  <c r="H8" i="4"/>
  <c r="H9" i="4"/>
  <c r="I9" i="4" s="1"/>
  <c r="H10" i="4"/>
  <c r="I10" i="4" s="1"/>
  <c r="H11" i="4"/>
  <c r="I11" i="4" s="1"/>
  <c r="H12" i="4"/>
  <c r="H13" i="4"/>
  <c r="H14" i="4"/>
  <c r="I14" i="4" s="1"/>
  <c r="H15" i="4"/>
  <c r="I15" i="4" s="1"/>
  <c r="H16" i="4"/>
  <c r="H17" i="4"/>
  <c r="I17" i="4" s="1"/>
  <c r="H18" i="4"/>
  <c r="I18" i="4" s="1"/>
  <c r="H19" i="4"/>
  <c r="I19" i="4" s="1"/>
  <c r="H20" i="4"/>
  <c r="H2" i="4"/>
  <c r="B18" i="13"/>
  <c r="B18" i="7" s="1"/>
  <c r="B13" i="13"/>
  <c r="B13" i="7" s="1"/>
  <c r="B9" i="13"/>
  <c r="B9" i="7" s="1"/>
  <c r="I4" i="4"/>
  <c r="J4" i="4" s="1"/>
  <c r="I5" i="4"/>
  <c r="I8" i="4"/>
  <c r="I12" i="4"/>
  <c r="I13" i="4"/>
  <c r="I16" i="4"/>
  <c r="I20" i="4"/>
  <c r="I2" i="4"/>
  <c r="B38" i="11"/>
  <c r="B34" i="11"/>
  <c r="B30" i="11"/>
  <c r="A26" i="11"/>
  <c r="B22" i="11"/>
  <c r="B18" i="11"/>
  <c r="B14" i="11"/>
  <c r="A10" i="11"/>
  <c r="G4" i="11"/>
  <c r="C4" i="11"/>
  <c r="C3" i="11"/>
  <c r="B24" i="8"/>
  <c r="B15" i="8"/>
  <c r="B20" i="8"/>
  <c r="B8" i="5"/>
  <c r="G15" i="4"/>
  <c r="G17" i="4"/>
  <c r="F17" i="4"/>
  <c r="G16" i="4"/>
  <c r="F16" i="4"/>
  <c r="F15" i="4"/>
  <c r="G11" i="4"/>
  <c r="F11" i="4"/>
  <c r="G10" i="4"/>
  <c r="F10" i="4"/>
  <c r="G9" i="4"/>
  <c r="F9" i="4"/>
  <c r="G8" i="4"/>
  <c r="F8" i="4"/>
  <c r="G7" i="4"/>
  <c r="F7" i="4"/>
  <c r="G6" i="4"/>
  <c r="F6" i="4"/>
  <c r="G5" i="4"/>
  <c r="F5" i="4"/>
  <c r="G4" i="4"/>
  <c r="F4" i="4"/>
  <c r="G3" i="4"/>
  <c r="B39" i="5" s="1"/>
  <c r="B47" i="8" s="1"/>
  <c r="F3" i="4"/>
  <c r="B38" i="5" s="1"/>
  <c r="B46" i="8" s="1"/>
  <c r="G2" i="4"/>
  <c r="B10" i="5"/>
  <c r="B25" i="8" s="1"/>
  <c r="B13" i="5"/>
  <c r="B16" i="8" s="1"/>
  <c r="B13" i="8" l="1"/>
  <c r="B33" i="13"/>
  <c r="E35" i="13" s="1"/>
  <c r="C39" i="13" s="1"/>
  <c r="B32" i="13"/>
  <c r="C32" i="7" s="1"/>
  <c r="C38" i="8"/>
  <c r="C30" i="5"/>
  <c r="G3" i="11"/>
  <c r="B17" i="5"/>
  <c r="B18" i="8" s="1"/>
  <c r="B9" i="8"/>
  <c r="C37" i="8"/>
  <c r="C26" i="7"/>
  <c r="B22" i="13"/>
  <c r="E34" i="13" l="1"/>
  <c r="C38" i="13" s="1"/>
  <c r="C33" i="7"/>
  <c r="B23" i="13"/>
  <c r="B22" i="7"/>
  <c r="B19" i="5" l="1"/>
  <c r="B23" i="7"/>
  <c r="B20" i="5" l="1"/>
  <c r="B26" i="8"/>
  <c r="C36" i="7"/>
  <c r="C35" i="7"/>
  <c r="B28" i="8" l="1"/>
  <c r="B21" i="5"/>
  <c r="B27" i="5" l="1"/>
  <c r="B26" i="5"/>
  <c r="B33" i="5"/>
  <c r="B41" i="8" s="1"/>
  <c r="B32" i="5"/>
  <c r="B40" i="8" s="1"/>
  <c r="B25" i="5"/>
  <c r="B24" i="5"/>
  <c r="B34" i="5"/>
  <c r="B42" i="8" s="1"/>
  <c r="B35" i="5"/>
  <c r="B43" i="8" s="1"/>
  <c r="B32" i="8" l="1"/>
  <c r="C25" i="5"/>
  <c r="C32" i="8" s="1"/>
  <c r="B34" i="8"/>
  <c r="C27" i="5"/>
  <c r="C34" i="8" s="1"/>
  <c r="B33" i="8"/>
  <c r="C26" i="5"/>
  <c r="C33" i="8" s="1"/>
  <c r="B31" i="8"/>
  <c r="C24" i="5"/>
  <c r="C31" i="8" s="1"/>
</calcChain>
</file>

<file path=xl/sharedStrings.xml><?xml version="1.0" encoding="utf-8"?>
<sst xmlns="http://schemas.openxmlformats.org/spreadsheetml/2006/main" count="397" uniqueCount="278">
  <si>
    <t>Callsign</t>
  </si>
  <si>
    <t>Field</t>
  </si>
  <si>
    <t>Transmitter description</t>
  </si>
  <si>
    <t>External amplifier description</t>
  </si>
  <si>
    <t>Feed line type</t>
  </si>
  <si>
    <t>Value</t>
  </si>
  <si>
    <t>Setup number</t>
  </si>
  <si>
    <t>Station location</t>
  </si>
  <si>
    <t>Evaluated by</t>
  </si>
  <si>
    <t>Date</t>
  </si>
  <si>
    <t>Mark Braunstein</t>
  </si>
  <si>
    <t>Icom IC-706MKIIG</t>
  </si>
  <si>
    <t>None</t>
  </si>
  <si>
    <t>Other feed line components</t>
  </si>
  <si>
    <t>Coax</t>
  </si>
  <si>
    <t>Ladder Line</t>
  </si>
  <si>
    <t>Hardline</t>
  </si>
  <si>
    <t>Feed Line Type</t>
  </si>
  <si>
    <t>Ideal/Lossless</t>
  </si>
  <si>
    <t>SHF</t>
  </si>
  <si>
    <t>EHF</t>
  </si>
  <si>
    <t>Bands</t>
  </si>
  <si>
    <t>Power</t>
  </si>
  <si>
    <t>500</t>
  </si>
  <si>
    <t>160m</t>
  </si>
  <si>
    <t>80m</t>
  </si>
  <si>
    <t>75m</t>
  </si>
  <si>
    <t>40m</t>
  </si>
  <si>
    <t>30m</t>
  </si>
  <si>
    <t>20m</t>
  </si>
  <si>
    <t>17m</t>
  </si>
  <si>
    <t>15m</t>
  </si>
  <si>
    <t>12m</t>
  </si>
  <si>
    <t>10m</t>
  </si>
  <si>
    <t>6m</t>
  </si>
  <si>
    <t>2m</t>
  </si>
  <si>
    <t>70cm</t>
  </si>
  <si>
    <t>33cm</t>
  </si>
  <si>
    <t>23cm</t>
  </si>
  <si>
    <t>13cm</t>
  </si>
  <si>
    <t>Colors</t>
  </si>
  <si>
    <t>Blue</t>
  </si>
  <si>
    <t>Tan</t>
  </si>
  <si>
    <t>Yellow</t>
  </si>
  <si>
    <t>Green</t>
  </si>
  <si>
    <t>computed value</t>
  </si>
  <si>
    <t>Description</t>
  </si>
  <si>
    <t>numeric input value</t>
  </si>
  <si>
    <t>dropdown list selection</t>
  </si>
  <si>
    <t>free-form text</t>
  </si>
  <si>
    <t>Emission Type</t>
  </si>
  <si>
    <t>Emission Type Factor</t>
  </si>
  <si>
    <t>CW Morse Telegraphy</t>
  </si>
  <si>
    <t>SSB voice</t>
  </si>
  <si>
    <t>SSB voice, heavy speech processing</t>
  </si>
  <si>
    <t>SSB AFSK</t>
  </si>
  <si>
    <t>SSB SSTV</t>
  </si>
  <si>
    <t>FM voice or data</t>
  </si>
  <si>
    <t>FSK</t>
  </si>
  <si>
    <t>AM voice, 50% modulation</t>
  </si>
  <si>
    <t>AM voice, 100% modulation</t>
  </si>
  <si>
    <t>ATV, video portion, image</t>
  </si>
  <si>
    <t>ATV, video portion, black screen</t>
  </si>
  <si>
    <t>Continuous carrier</t>
  </si>
  <si>
    <t>Antenna Description</t>
  </si>
  <si>
    <t>Emission type</t>
  </si>
  <si>
    <t>Antenna efficiency (percent)</t>
  </si>
  <si>
    <t>Power Density_Controlled</t>
  </si>
  <si>
    <t>Power Density_Uncontrolled</t>
  </si>
  <si>
    <t>Frequency_MHz</t>
  </si>
  <si>
    <t>solve for R based on equation 7 and the power density limits from OET65B, Appendix A, Table 1.</t>
  </si>
  <si>
    <t xml:space="preserve"> from OET65B, Appendix A, Table 1</t>
  </si>
  <si>
    <t>Watts</t>
  </si>
  <si>
    <t>dBW</t>
  </si>
  <si>
    <t>dB/100ft</t>
  </si>
  <si>
    <t>ft</t>
  </si>
  <si>
    <t>dB</t>
  </si>
  <si>
    <t>Setup description</t>
  </si>
  <si>
    <t>Homebrew Vertical, HF</t>
  </si>
  <si>
    <t>meters</t>
  </si>
  <si>
    <t>dBi</t>
  </si>
  <si>
    <t>(numeric)</t>
  </si>
  <si>
    <t>%</t>
  </si>
  <si>
    <t>wa4kfz</t>
  </si>
  <si>
    <t>Password:</t>
  </si>
  <si>
    <t>use this to protect/unprotect the sheets</t>
  </si>
  <si>
    <t>[     ]</t>
  </si>
  <si>
    <t>Selection</t>
  </si>
  <si>
    <t>It is physically impossible or extremely unlikely under normal circumstances for any
person to be in any location where their exposure to RF electromagnetic fields would
exceed the FCC guidelines, because:</t>
  </si>
  <si>
    <t>the antenna is installed high enough on a tower or tree or other antenna support
structure, such that it is not possible under normal circumstances for persons to get
close enough to the antenna to be where the strength of the RF electromagnetic fields
exceed the levels in the applicable FCC guidelines.</t>
  </si>
  <si>
    <t>fences, locked gates and/or doors prevent persons who are unaware of the possibility
of RF exposure from normally gaining access to locations where the strength of the
RF electromagnetic fields exceed the levels in the applicable FCC guidelines.</t>
  </si>
  <si>
    <t>Based on this routine evaluation, operation of this amateur radio station setup in accordance with
the technical parameters entered above complies with the FCC’s guidelines for human exposure
to radiofrequency (RF) electromagnetic fields. The following statements provide the basis for
this conclusion.</t>
  </si>
  <si>
    <t>Although persons could normally be in location(s) where the RF fields from the evaluated
setup exceed the guideline levels, the following factors ensure that FCC human exposure
guidelines will not be exceeded:</t>
  </si>
  <si>
    <t>Signs have been installed that alert persons to the presence of RF electromagnetic
fields and warn them not to remain for an extended period.</t>
  </si>
  <si>
    <t>The locations where RF electromagnetic fields may exceed the guideline levels are
roadways or other areas where human presence is transient.</t>
  </si>
  <si>
    <t>Based on this routine evaluation, operation of this amateur radio station setup in accordance with the technical parameters entered above complies with the FCC’s guidelines for human exposure to radiofrequency (RF) electromagnetic fields. The following statements provide the basis for this conclusion.</t>
  </si>
  <si>
    <t>the antenna is installed high enough on a tower or tree or other antenna support structure, such that it is not possible under normal circumstances for persons to get close enough to the antenna to be where the strength of the RF electromagnetic fields exceed the levels in the applicable FCC guidelines.</t>
  </si>
  <si>
    <t>fences, locked gates and/or doors prevent persons who are unaware of the possibility of RF exposure from normally gaining access to locations where the strength of the RF electromagnetic fields exceed the levels in the applicable FCC guidelines.</t>
  </si>
  <si>
    <t>Although persons could normally be in location(s) where the RF fields from the evaluated setup exceed the guideline levels, the following factors ensure that FCC human exposure guidelines will not be exceeded:</t>
  </si>
  <si>
    <t>Emission type factor</t>
  </si>
  <si>
    <t>Duty cycle factor</t>
  </si>
  <si>
    <t>Antenna efficiency factor</t>
  </si>
  <si>
    <t>Antenna height above ground level</t>
  </si>
  <si>
    <t>Lossless antenna gain (directivity only)</t>
  </si>
  <si>
    <t>Average radiated power</t>
  </si>
  <si>
    <t>(additional text)</t>
  </si>
  <si>
    <t>[    ]</t>
  </si>
  <si>
    <t>Mark Braunstein WA4KFZ</t>
  </si>
  <si>
    <t>Conclusions</t>
  </si>
  <si>
    <t xml:space="preserve">If the PEP is below the value for each band, there is no need to complete the Routine Evaluation section of the worksheet. </t>
  </si>
  <si>
    <t xml:space="preserve">If a Routine Evaluation is required, the requisite parameters need to be entered for the antenna gain, emission type, duty cycle, and antenna efficiency. </t>
  </si>
  <si>
    <t>Note: this must be completed for each band of operation.</t>
  </si>
  <si>
    <t>Fields are color coded for convenience. The convention used:</t>
  </si>
  <si>
    <t>User data is entered in the blue or yellow fields. The tan fields are fixed dropdown lists. The green fields cannot be edited.</t>
  </si>
  <si>
    <r>
      <rPr>
        <b/>
        <sz val="11"/>
        <color theme="1"/>
        <rFont val="Calibri"/>
        <family val="2"/>
        <scheme val="minor"/>
      </rPr>
      <t>Initial Determination</t>
    </r>
    <r>
      <rPr>
        <sz val="11"/>
        <color theme="1"/>
        <rFont val="Calibri"/>
        <family val="2"/>
        <scheme val="minor"/>
      </rPr>
      <t xml:space="preserve"> as to whether a Routine Evaluation is required by FCC Rule Section 97.13 for this amateur radio station setup.</t>
    </r>
  </si>
  <si>
    <r>
      <rPr>
        <b/>
        <sz val="11"/>
        <color theme="1"/>
        <rFont val="Calibri"/>
        <family val="2"/>
        <scheme val="minor"/>
      </rPr>
      <t>Routine Evaluation</t>
    </r>
    <r>
      <rPr>
        <sz val="11"/>
        <color theme="1"/>
        <rFont val="Calibri"/>
        <family val="2"/>
        <scheme val="minor"/>
      </rPr>
      <t xml:space="preserve"> of amateur radio station setup.</t>
    </r>
  </si>
  <si>
    <r>
      <rPr>
        <b/>
        <sz val="11"/>
        <color theme="1"/>
        <rFont val="Calibri"/>
        <family val="2"/>
        <scheme val="minor"/>
      </rPr>
      <t>Initial Determination Worksheet</t>
    </r>
    <r>
      <rPr>
        <sz val="11"/>
        <color theme="1"/>
        <rFont val="Calibri"/>
        <family val="2"/>
        <scheme val="minor"/>
      </rPr>
      <t xml:space="preserve"> - the starting point for the maximum permissible exposure  calculations. </t>
    </r>
  </si>
  <si>
    <r>
      <rPr>
        <b/>
        <sz val="11"/>
        <color theme="1"/>
        <rFont val="Calibri"/>
        <family val="2"/>
        <scheme val="minor"/>
      </rPr>
      <t>Routine Evaluation Worksheet</t>
    </r>
    <r>
      <rPr>
        <sz val="11"/>
        <color theme="1"/>
        <rFont val="Calibri"/>
        <family val="2"/>
        <scheme val="minor"/>
      </rPr>
      <t xml:space="preserve"> - if an MPE calculation is required, enter the respective parameters. </t>
    </r>
  </si>
  <si>
    <r>
      <rPr>
        <b/>
        <sz val="11"/>
        <color theme="1"/>
        <rFont val="Calibri"/>
        <family val="2"/>
        <scheme val="minor"/>
      </rPr>
      <t>Conclusions Worksheet</t>
    </r>
    <r>
      <rPr>
        <sz val="11"/>
        <color theme="1"/>
        <rFont val="Calibri"/>
        <family val="2"/>
        <scheme val="minor"/>
      </rPr>
      <t xml:space="preserve"> - the declaration statements applicable to the routine evaluation process. Enter a "X" at the respective checkbox. Free-form text fields are also available, similar to those on page 4 of OET65B.</t>
    </r>
  </si>
  <si>
    <r>
      <rPr>
        <b/>
        <sz val="11"/>
        <color theme="1"/>
        <rFont val="Calibri"/>
        <family val="2"/>
        <scheme val="minor"/>
      </rPr>
      <t>Dropdown List</t>
    </r>
    <r>
      <rPr>
        <sz val="11"/>
        <color theme="1"/>
        <rFont val="Calibri"/>
        <family val="2"/>
        <scheme val="minor"/>
      </rPr>
      <t xml:space="preserve"> - a series of tables used to select the type of feedline, the power levels and power flux density values for each band of operation, and numeric values related to each mode of operation. </t>
    </r>
  </si>
  <si>
    <r>
      <rPr>
        <b/>
        <sz val="11"/>
        <color theme="1"/>
        <rFont val="Calibri"/>
        <family val="2"/>
        <scheme val="minor"/>
      </rPr>
      <t>Readme</t>
    </r>
    <r>
      <rPr>
        <sz val="11"/>
        <color theme="1"/>
        <rFont val="Calibri"/>
        <family val="2"/>
        <scheme val="minor"/>
      </rPr>
      <t xml:space="preserve"> - this tab</t>
    </r>
  </si>
  <si>
    <t>Legend</t>
  </si>
  <si>
    <t>Blue - (free-form text)</t>
  </si>
  <si>
    <t>Tan - (dropdown list selection)</t>
  </si>
  <si>
    <t>Yellow - (numeric input value)</t>
  </si>
  <si>
    <t>Green - (computed value)</t>
  </si>
  <si>
    <t>Maximum Permissible Exposure (MPE) Calculation Spreadsheet</t>
  </si>
  <si>
    <t>Process</t>
  </si>
  <si>
    <t>Spreadsheet Tabs</t>
  </si>
  <si>
    <t>Readme Information</t>
  </si>
  <si>
    <t>Initial Determination</t>
  </si>
  <si>
    <t>Routine Evaluation</t>
  </si>
  <si>
    <r>
      <rPr>
        <b/>
        <sz val="11"/>
        <color theme="1"/>
        <rFont val="Calibri"/>
        <family val="2"/>
        <scheme val="minor"/>
      </rPr>
      <t>Password</t>
    </r>
    <r>
      <rPr>
        <sz val="11"/>
        <color theme="1"/>
        <rFont val="Calibri"/>
        <family val="2"/>
        <scheme val="minor"/>
      </rPr>
      <t xml:space="preserve"> - a password used to protect each tab in the spreadsheet. This was done to prevent accidentally corrupting the spreadsheet calculations. </t>
    </r>
  </si>
  <si>
    <t xml:space="preserve">Note: user values are entered into the worksheets. The values then propagate to the respective summary tabs. </t>
  </si>
  <si>
    <t xml:space="preserve">Note: this must be repeated for each band of operation. </t>
  </si>
  <si>
    <t>1.25m</t>
  </si>
  <si>
    <t>Refer to the new Table 2 that replaces the old Table 1</t>
  </si>
  <si>
    <t>Threshold_ERP_Uncontrolled</t>
  </si>
  <si>
    <t>Threshold_ERP_Controlled</t>
  </si>
  <si>
    <t>Near Field Radius</t>
  </si>
  <si>
    <t>from 19-126A1</t>
  </si>
  <si>
    <t>Near_Field_Radius_m</t>
  </si>
  <si>
    <t>Near_Field_Radius_ft</t>
  </si>
  <si>
    <t>Station Description</t>
  </si>
  <si>
    <t>Losses from Transmitter to Antenna</t>
  </si>
  <si>
    <t>Maximum Power into the Antenna</t>
  </si>
  <si>
    <t>Distances from the Antenna</t>
  </si>
  <si>
    <t>What is the Near-field Radius for this Band?</t>
  </si>
  <si>
    <t>Are You in the Far-field for this Band?</t>
  </si>
  <si>
    <t>Based upon the above estimates for an uncontrolled environment, a routine evaluation is not required.</t>
  </si>
  <si>
    <t>Based upon the above estimates for a controlled environment, a routine evaluation is not required.</t>
  </si>
  <si>
    <t>Compliance Statements</t>
  </si>
  <si>
    <t>FarFieldTestUncontrolled</t>
  </si>
  <si>
    <t>FarFieldTestControlled</t>
  </si>
  <si>
    <t>Meters</t>
  </si>
  <si>
    <t>Feet</t>
  </si>
  <si>
    <t>V_1=uncontrolled distance</t>
  </si>
  <si>
    <t>W_1=controlled distance</t>
  </si>
  <si>
    <t>Antenna Parameters</t>
  </si>
  <si>
    <t>Transmitter Parameters</t>
  </si>
  <si>
    <t>Radiated Power Calculations</t>
  </si>
  <si>
    <t>Minimum Safe Distances</t>
  </si>
  <si>
    <t>Calculated Power Flux Density</t>
  </si>
  <si>
    <t>Initial Determination Summary</t>
  </si>
  <si>
    <t>If NO, run routine evaluation instead</t>
  </si>
  <si>
    <t>PEP output (W)</t>
  </si>
  <si>
    <t>PEP output (dBW)</t>
  </si>
  <si>
    <t>Feed line loss specification (dB/100ft)</t>
  </si>
  <si>
    <t>Feed line length (ft)</t>
  </si>
  <si>
    <t>Calculated feed line loss (dB)</t>
  </si>
  <si>
    <t>Feed line components loss (dB)</t>
  </si>
  <si>
    <t>PEP input to antenna (dBW)</t>
  </si>
  <si>
    <t>PEP input to antenna (W)</t>
  </si>
  <si>
    <t>Routine Evaluation Summary</t>
  </si>
  <si>
    <t>Transmitter</t>
  </si>
  <si>
    <t>Antenna</t>
  </si>
  <si>
    <t>Average Radiated Power</t>
  </si>
  <si>
    <r>
      <t>Feed line type {</t>
    </r>
    <r>
      <rPr>
        <i/>
        <sz val="11"/>
        <color theme="1"/>
        <rFont val="Calibri"/>
        <family val="2"/>
        <scheme val="minor"/>
      </rPr>
      <t>select from dropdown list</t>
    </r>
    <r>
      <rPr>
        <sz val="11"/>
        <color theme="1"/>
        <rFont val="Calibri"/>
        <family val="2"/>
        <scheme val="minor"/>
      </rPr>
      <t>}</t>
    </r>
  </si>
  <si>
    <r>
      <t>Emission type {</t>
    </r>
    <r>
      <rPr>
        <i/>
        <sz val="11"/>
        <color theme="1"/>
        <rFont val="Calibri"/>
        <family val="2"/>
        <scheme val="minor"/>
      </rPr>
      <t>select from dropdown list</t>
    </r>
    <r>
      <rPr>
        <sz val="11"/>
        <color theme="1"/>
        <rFont val="Calibri"/>
        <family val="2"/>
        <scheme val="minor"/>
      </rPr>
      <t>}</t>
    </r>
  </si>
  <si>
    <t>Multiband vertical</t>
  </si>
  <si>
    <t>Antenna efficiency (percent) {enter value}</t>
  </si>
  <si>
    <t>Transmit On Time (minutes)</t>
  </si>
  <si>
    <t>Transmit Off Time (minutes)</t>
  </si>
  <si>
    <r>
      <t>Transmit duty cycle (percent)
{</t>
    </r>
    <r>
      <rPr>
        <i/>
        <sz val="11"/>
        <color rgb="FFFF0000"/>
        <rFont val="Calibri"/>
        <family val="2"/>
        <scheme val="minor"/>
      </rPr>
      <t>Use the maximum of either the 6 min or 30 min exposure cases</t>
    </r>
    <r>
      <rPr>
        <sz val="11"/>
        <color theme="1"/>
        <rFont val="Calibri"/>
        <family val="2"/>
        <scheme val="minor"/>
      </rPr>
      <t xml:space="preserve">} </t>
    </r>
  </si>
  <si>
    <t>Actual Distances</t>
  </si>
  <si>
    <t>Calculated Power Flux Density at Actual Distances</t>
  </si>
  <si>
    <t>Wavelength_m</t>
  </si>
  <si>
    <r>
      <t xml:space="preserve">Antenna height above ground level (wavelengths) </t>
    </r>
    <r>
      <rPr>
        <sz val="11"/>
        <color rgb="FFFF0000"/>
        <rFont val="Calibri"/>
        <family val="2"/>
        <scheme val="minor"/>
      </rPr>
      <t>{reverse-order scale: 0-0.5, 0.5-1.0, 1.0-1.5, 1.5-2.0, &gt;2.0</t>
    </r>
    <r>
      <rPr>
        <sz val="11"/>
        <color theme="1"/>
        <rFont val="Calibri"/>
        <family val="2"/>
        <scheme val="minor"/>
      </rPr>
      <t>}</t>
    </r>
  </si>
  <si>
    <t>wavelengths</t>
  </si>
  <si>
    <t>Average power input to the antenna</t>
  </si>
  <si>
    <t>FCC Power Flux Density Limits</t>
  </si>
  <si>
    <t>Antenna height above ground level (wavelengths)
{reverse-order scale: 0-0.5, 0.5-1.0, 1.0-1.5, 1.5-2.0, &gt;2.0}</t>
  </si>
  <si>
    <r>
      <t>Transmit duty cycle (percent) 
{T</t>
    </r>
    <r>
      <rPr>
        <i/>
        <sz val="11"/>
        <color theme="1"/>
        <rFont val="Calibri"/>
        <family val="2"/>
        <scheme val="minor"/>
      </rPr>
      <t>he maximum of either the 6 min or 30 min exposure cases</t>
    </r>
    <r>
      <rPr>
        <sz val="11"/>
        <color theme="1"/>
        <rFont val="Calibri"/>
        <family val="2"/>
        <scheme val="minor"/>
      </rPr>
      <t>}</t>
    </r>
  </si>
  <si>
    <t>14345 Brookmere Drive, 
Centreville, VA 20120</t>
  </si>
  <si>
    <t>Uncontrolled location distance &gt; near field radius? 
If NO, run routine evaluation instead.</t>
  </si>
  <si>
    <t>Controlled location distance &gt; near field radius? 
If NO, run routine evaluation instead.</t>
  </si>
  <si>
    <t>Distance from antenna to Uncontrolled location</t>
  </si>
  <si>
    <t>Distance from antenna to Controlled location</t>
  </si>
  <si>
    <t>Based upon the above estimates for an Uncontrolled environment, a routine evaluation is not required.</t>
  </si>
  <si>
    <t>Based upon the above estimates for a Controlled environment, a routine evaluation is not required.</t>
  </si>
  <si>
    <t>Amateur radio operator may be present 
(Controlled, with ground reflections)</t>
  </si>
  <si>
    <t>Public may be present 
(Uncontrolled, no ground reflections)</t>
  </si>
  <si>
    <t>Amateur radio operator may be present 
(Controlled, no ground reflections)</t>
  </si>
  <si>
    <t>Distance from radiating part of antenna to where public may be present (Uncontrolled)</t>
  </si>
  <si>
    <t>Distance from radiating part of antenna to where amateur radio operator may be present (Controlled)</t>
  </si>
  <si>
    <r>
      <t>Wavelength (band) {</t>
    </r>
    <r>
      <rPr>
        <i/>
        <sz val="11"/>
        <color theme="1"/>
        <rFont val="Calibri"/>
        <family val="2"/>
        <scheme val="minor"/>
      </rPr>
      <t>select from dropdown list</t>
    </r>
    <r>
      <rPr>
        <sz val="11"/>
        <color theme="1"/>
        <rFont val="Calibri"/>
        <family val="2"/>
        <scheme val="minor"/>
      </rPr>
      <t>}</t>
    </r>
  </si>
  <si>
    <t>Wavelength (band)</t>
  </si>
  <si>
    <t>percent</t>
  </si>
  <si>
    <t>Public may be present 
(Uncontrolled, with ground reflections)</t>
  </si>
  <si>
    <r>
      <t>mW/cm</t>
    </r>
    <r>
      <rPr>
        <vertAlign val="superscript"/>
        <sz val="11"/>
        <color theme="1"/>
        <rFont val="Calibri"/>
        <family val="2"/>
        <scheme val="minor"/>
      </rPr>
      <t>2</t>
    </r>
  </si>
  <si>
    <t xml:space="preserve">Date: </t>
  </si>
  <si>
    <t>Callsign:</t>
  </si>
  <si>
    <t xml:space="preserve">Wavelength (band): </t>
  </si>
  <si>
    <t>Setup #:</t>
  </si>
  <si>
    <t>Declaration</t>
  </si>
  <si>
    <t>Statement 1</t>
  </si>
  <si>
    <t>Statement 2</t>
  </si>
  <si>
    <t>(a)</t>
  </si>
  <si>
    <t>(b)</t>
  </si>
  <si>
    <t>(c)</t>
  </si>
  <si>
    <t>It is physically impossible or extremely unlikely under normal circumstances for any
person to be in any location where their exposure to RF electromagnetic fields would exceed the FCC guidelines, because:</t>
  </si>
  <si>
    <t>signs have been installed that alert persons to the presence of RF electromagnetic fields and warn them not to remain for an extended period.</t>
  </si>
  <si>
    <t>the locations where RF electromagnetic fields may exceed the guideline levels are roadways or other areas where human presence is transient.</t>
  </si>
  <si>
    <t>Conclusions Summary</t>
  </si>
  <si>
    <t>Station</t>
  </si>
  <si>
    <r>
      <t xml:space="preserve">Conclusions </t>
    </r>
    <r>
      <rPr>
        <sz val="11"/>
        <color theme="1"/>
        <rFont val="Calibri"/>
        <family val="2"/>
        <scheme val="minor"/>
      </rPr>
      <t>regarding the evaluation of the amateur radio station setup.</t>
    </r>
  </si>
  <si>
    <t>This spreadsheet emulates the worksheet pages for a conventional amateur radio station. Repeaters are not addressed. Multiple operator configurations are also not addressed.</t>
  </si>
  <si>
    <t xml:space="preserve">The FCC requires amateur radio operators to evaluate the Maximum Permissible Exposure (MPE) criteria for their stations. The evaluation process is described in FCC OET Bulletin 65, Supplement B (Edition 97-01), FCC NPRM 19--126 (December 4, 2019), FCC Part 97.13(c)(1) and QST Article, p. 60, September 2021. </t>
  </si>
  <si>
    <t>There are three worksheets:</t>
  </si>
  <si>
    <r>
      <rPr>
        <b/>
        <sz val="11"/>
        <color theme="1"/>
        <rFont val="Calibri"/>
        <family val="2"/>
        <scheme val="minor"/>
      </rPr>
      <t>Initial Determination Summary</t>
    </r>
    <r>
      <rPr>
        <sz val="11"/>
        <color theme="1"/>
        <rFont val="Calibri"/>
        <family val="2"/>
        <scheme val="minor"/>
      </rPr>
      <t xml:space="preserve"> - a summary of the worksheet formatted for printing.</t>
    </r>
  </si>
  <si>
    <r>
      <rPr>
        <b/>
        <sz val="11"/>
        <color theme="1"/>
        <rFont val="Calibri"/>
        <family val="2"/>
        <scheme val="minor"/>
      </rPr>
      <t>Routine Evaluation Summary</t>
    </r>
    <r>
      <rPr>
        <sz val="11"/>
        <color theme="1"/>
        <rFont val="Calibri"/>
        <family val="2"/>
        <scheme val="minor"/>
      </rPr>
      <t xml:space="preserve"> - a summary of the worksheet formatted for printing.</t>
    </r>
  </si>
  <si>
    <r>
      <rPr>
        <b/>
        <sz val="11"/>
        <color theme="1"/>
        <rFont val="Calibri"/>
        <family val="2"/>
        <scheme val="minor"/>
      </rPr>
      <t>Conclusions Summary</t>
    </r>
    <r>
      <rPr>
        <sz val="11"/>
        <color theme="1"/>
        <rFont val="Calibri"/>
        <family val="2"/>
        <scheme val="minor"/>
      </rPr>
      <t xml:space="preserve"> - a summary of the worksheet formatted for printing. </t>
    </r>
  </si>
  <si>
    <t xml:space="preserve">User data is only entered into the Initial Determination Worksheet, the Routine Evaluation Worksheet and the Conclusions Worksheet. </t>
  </si>
  <si>
    <r>
      <t xml:space="preserve">Once user data has been entered, the Initial Determination Summary, Routine Evaluation Summary and Conclusions Summary tabs are computed. These tabs have been formated for printing. </t>
    </r>
    <r>
      <rPr>
        <u/>
        <sz val="11"/>
        <color theme="1"/>
        <rFont val="Calibri"/>
        <family val="2"/>
        <scheme val="minor"/>
      </rPr>
      <t>Print each of these summary sheets for your records; they serve as your Record of Compliance.</t>
    </r>
  </si>
  <si>
    <t xml:space="preserve">The process begins by first conducting the Initial Determination. The PEP input power to the antenna (accounting for all relevant losses) is computed. The distance from the antenna to the observation point, along with the frequency, to determine the appropriate exemptions per the table referenced in Part 97.13(c)(1). Note that this table replaces Table 1 from OET65B. The new table can be found in FCC Part 1.1307. </t>
  </si>
  <si>
    <r>
      <t xml:space="preserve"> The spreadsheet computes the near-field boundary distance for each band. If the observation point is inside the near-field boundary, it is necessary to complete the Routine Evaluation worksheet. If the observation point is outside of the near-field boundary, evaluation using the Initial Determination alone is sufficient to show compliance. The initial determination process is only valid when the observation point is </t>
    </r>
    <r>
      <rPr>
        <u/>
        <sz val="11"/>
        <color theme="1"/>
        <rFont val="Calibri"/>
        <family val="2"/>
        <scheme val="minor"/>
      </rPr>
      <t>outside</t>
    </r>
    <r>
      <rPr>
        <sz val="11"/>
        <color theme="1"/>
        <rFont val="Calibri"/>
        <family val="2"/>
        <scheme val="minor"/>
      </rPr>
      <t xml:space="preserve"> of the near-field boundary.</t>
    </r>
  </si>
  <si>
    <t>If a Routine Evaluation is required, the field will change to red and the text will change to "NO". Check the respective box to indicate if the Routine Evaluation is or is not required.</t>
  </si>
  <si>
    <t>The minimum safe distances are automatically computed based on the band of operation. The distances are derived from OET65B, equations 7 and 4. The power density limits from OET65B, Appendix A, Table 1 are used (through a lookup table in the spreadsheet) to determine which level to use based on the band of operation.</t>
  </si>
  <si>
    <t xml:space="preserve">Enter the actual distances between the antenna and the observer for both the controlled and uncontrolled scenarios. The distances are computed from simple trigonometry. Independent controlled and uncontrolled distances are used to assess realistic scenarios. For example, the distance from the antenna to someone located on the controlled property (e.g., someone sitting outside on a deck) is most likely significantly different than the distance from the antenna to a person on a public sidewalk. </t>
  </si>
  <si>
    <t>The power flux density for controlled/uncontrolled and ground reflection/no ground reflection scenarios are computed. The ground reflection results have the highest magnitude and thus represent the worst case conditions.</t>
  </si>
  <si>
    <t xml:space="preserve">For the Routine Evaluation Summary tab, the fields will turn red if the power flux density exceeds the maximum permissible exposure levels. </t>
  </si>
  <si>
    <t>The statements were taken from the OET65B worksheet. Complete the relevant statements to ensure that compliance can be met.</t>
  </si>
  <si>
    <r>
      <t xml:space="preserve">Note: there are </t>
    </r>
    <r>
      <rPr>
        <u/>
        <sz val="11"/>
        <color theme="1"/>
        <rFont val="Calibri"/>
        <family val="2"/>
        <scheme val="minor"/>
      </rPr>
      <t>two sets</t>
    </r>
    <r>
      <rPr>
        <sz val="11"/>
        <color theme="1"/>
        <rFont val="Calibri"/>
        <family val="2"/>
        <scheme val="minor"/>
      </rPr>
      <t xml:space="preserve"> of calculations shown. One is based on the gain provided by ground reflections; the other does not use ground reflections. The ground reflection results have the highest magnitude and thus represent the worst case conditions. 
Ground reflections are relevant for antennas that are ground-dependent (such as verticals) and horizontal antennas within a few wavelengths. Ground reflections are mainly of concern for where the main beam of the antenna interacts with reflecting surfaces. 
The "strength indicator" symbol shows all bars at low heights above ground. This means that the proximity to ground is highly relevant to chosing whether or not to use the ground reflection criteria. </t>
    </r>
    <r>
      <rPr>
        <u/>
        <sz val="11"/>
        <color theme="1"/>
        <rFont val="Calibri"/>
        <family val="2"/>
        <scheme val="minor"/>
      </rPr>
      <t>As the height increases, the number of bars decreases</t>
    </r>
    <r>
      <rPr>
        <sz val="11"/>
        <color theme="1"/>
        <rFont val="Calibri"/>
        <family val="2"/>
        <scheme val="minor"/>
      </rPr>
      <t xml:space="preserve">. The "strength indicator" is scaled from zero to 2 wavelengths; further research is needed to determine if this is the best scale to use or if there are other ways to represent this information. The use of 2 wavelengths is based on the typical definition of the far-field region for electrically-short (less than 0.5 wavelength) antennas. Reference: https://en.wikipedia.org/wiki/Near_and_far_field
For high-gain, line-of-sight antenna configurations, ground gain has less impact on MPE.
In general, there is no one definitive answer as to whether or not to use the ground reflection criteria for worst-case MPE. There may be objects within a few wavelengths of the antenna that could create reflections, thereby providing additional ground reflection gain. In general, it is best to assume that MPE will fall somewhere between the no-ground reflection case and the ground reflection case. </t>
    </r>
  </si>
  <si>
    <t xml:space="preserve">solve for R based on equation 4 and the power density limits from OET65B, Appendix A, Table 1. </t>
  </si>
  <si>
    <t>Antenna height above ground level {enter value}</t>
  </si>
  <si>
    <t>Lossless antenna gain (directivity, dBi) {enter value}</t>
  </si>
  <si>
    <t>Lossless antenna gain (directivity, linear)</t>
  </si>
  <si>
    <t>Average power input to the antenna (W)</t>
  </si>
  <si>
    <t>Average radiated power (W)</t>
  </si>
  <si>
    <t>Average radiated power (mW)</t>
  </si>
  <si>
    <t>Min. necesssary distance from radiating part of antenna to place where public may be present (uncontrolled scenario, with ground reflections)</t>
  </si>
  <si>
    <t>Min. necesssary distance from radiating part of antenna to place where amateur radio operator may be present (controlled scenario, with ground reflections)</t>
  </si>
  <si>
    <t>Min. necesssary distance from radiating part of antenna to place where public may be present (uncontrolled scenario, no ground reflections)</t>
  </si>
  <si>
    <t>Min. necesssary distance from radiating part of antenna to place where amateur radio operator may be present (controlled scenario, no ground reflections)</t>
  </si>
  <si>
    <t>Actual distance from radiating part of antenna to nearest place where public may be present (uncontrolled scenario)</t>
  </si>
  <si>
    <t>Actual distance from radiating part of antenna to nearest place where amateur radio operator may be present (controlled scenario)</t>
  </si>
  <si>
    <t>WA4KFZ</t>
  </si>
  <si>
    <t>[  X  ]</t>
  </si>
  <si>
    <t>[   X  ]</t>
  </si>
  <si>
    <t>minutes</t>
  </si>
  <si>
    <t>milliWatts</t>
  </si>
  <si>
    <t>Derived from OET65B, Appendix A, Table 1 at the various frequency ranges and automatically selected from the Dropdown List tab</t>
  </si>
  <si>
    <r>
      <t>Calculated power flux density (at uncontrolled distance, with ground reflections) {</t>
    </r>
    <r>
      <rPr>
        <i/>
        <sz val="11"/>
        <color rgb="FFFF0000"/>
        <rFont val="Calibri"/>
        <family val="2"/>
        <scheme val="minor"/>
      </rPr>
      <t>cell turns red when limit exceeded</t>
    </r>
    <r>
      <rPr>
        <sz val="11"/>
        <color theme="1"/>
        <rFont val="Calibri"/>
        <family val="2"/>
        <scheme val="minor"/>
      </rPr>
      <t>}</t>
    </r>
  </si>
  <si>
    <r>
      <t>Calculated power flux density (at controlled distance, with ground reflections) {</t>
    </r>
    <r>
      <rPr>
        <i/>
        <sz val="11"/>
        <color rgb="FFFF0000"/>
        <rFont val="Calibri"/>
        <family val="2"/>
        <scheme val="minor"/>
      </rPr>
      <t>cell turns red when limit exceeded</t>
    </r>
    <r>
      <rPr>
        <sz val="11"/>
        <color theme="1"/>
        <rFont val="Calibri"/>
        <family val="2"/>
        <scheme val="minor"/>
      </rPr>
      <t>}</t>
    </r>
  </si>
  <si>
    <r>
      <t>Calculated power flux density(at uncontrolled distance, no ground reflections) {</t>
    </r>
    <r>
      <rPr>
        <i/>
        <sz val="11"/>
        <color rgb="FFFF0000"/>
        <rFont val="Calibri"/>
        <family val="2"/>
        <scheme val="minor"/>
      </rPr>
      <t>cell turns red when limit exceeded</t>
    </r>
    <r>
      <rPr>
        <sz val="11"/>
        <color theme="1"/>
        <rFont val="Calibri"/>
        <family val="2"/>
        <scheme val="minor"/>
      </rPr>
      <t>}</t>
    </r>
  </si>
  <si>
    <r>
      <t>Calculated power flux density (at controlled distance, no ground reflections) {</t>
    </r>
    <r>
      <rPr>
        <i/>
        <sz val="11"/>
        <color rgb="FFFF0000"/>
        <rFont val="Calibri"/>
        <family val="2"/>
        <scheme val="minor"/>
      </rPr>
      <t>cell turns red when limit exceeded</t>
    </r>
    <r>
      <rPr>
        <sz val="11"/>
        <color theme="1"/>
        <rFont val="Calibri"/>
        <family val="2"/>
        <scheme val="minor"/>
      </rPr>
      <t>}</t>
    </r>
  </si>
  <si>
    <t>Power density limit (controlled) derived from OET65B, Appendix A, Table 1A at various frequency ranges</t>
  </si>
  <si>
    <t>Power density limit (uncontrolled) derived from OET65B, Appendix A, Table 1B at various frequency ranges</t>
  </si>
  <si>
    <t>FCC Power Flux Density Limits (derived from OET65B, Appendix A, Table 1)</t>
  </si>
  <si>
    <t>Power density limit (controlled) (Table 1A)</t>
  </si>
  <si>
    <t>Power density limit (uncontrolled) (Table 1B)</t>
  </si>
  <si>
    <r>
      <t>Calculated power density (at Uncontrolled distance, with ground reflections) 
{</t>
    </r>
    <r>
      <rPr>
        <i/>
        <sz val="11"/>
        <color rgb="FFFF0000"/>
        <rFont val="Calibri"/>
        <family val="2"/>
        <scheme val="minor"/>
      </rPr>
      <t>cell turns red when limit exceeded</t>
    </r>
    <r>
      <rPr>
        <sz val="11"/>
        <color theme="1"/>
        <rFont val="Calibri"/>
        <family val="2"/>
        <scheme val="minor"/>
      </rPr>
      <t>}</t>
    </r>
  </si>
  <si>
    <r>
      <t>Calculated power density (at Uncontrolled distance, no ground reflections) 
{</t>
    </r>
    <r>
      <rPr>
        <i/>
        <sz val="11"/>
        <color rgb="FFFF0000"/>
        <rFont val="Calibri"/>
        <family val="2"/>
        <scheme val="minor"/>
      </rPr>
      <t>cell turns red when limit exceeded</t>
    </r>
    <r>
      <rPr>
        <sz val="11"/>
        <color theme="1"/>
        <rFont val="Calibri"/>
        <family val="2"/>
        <scheme val="minor"/>
      </rPr>
      <t>}</t>
    </r>
  </si>
  <si>
    <r>
      <t>Calculated power density (at Controlled distance, no ground reflections) 
{</t>
    </r>
    <r>
      <rPr>
        <i/>
        <sz val="11"/>
        <color rgb="FFFF0000"/>
        <rFont val="Calibri"/>
        <family val="2"/>
        <scheme val="minor"/>
      </rPr>
      <t>cell turns red when limit exceeded</t>
    </r>
    <r>
      <rPr>
        <sz val="11"/>
        <color theme="1"/>
        <rFont val="Calibri"/>
        <family val="2"/>
        <scheme val="minor"/>
      </rPr>
      <t>}</t>
    </r>
  </si>
  <si>
    <t>MFJ-993BRT tuner (estimated loss)</t>
  </si>
  <si>
    <t>Revision: 1.0 (initial release)</t>
  </si>
  <si>
    <t>Is Uncontrolled location distance &gt; near field radius?</t>
  </si>
  <si>
    <t>Is Controlled location distance &gt; near field radius?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</si>
</sst>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0.0"/>
    <numFmt numFmtId="165" formatCode="[$-F800]dddd\,\ mmmm\ dd\,\ yyyy"/>
    <numFmt numFmtId="166" formatCode="0.0000"/>
  </numFmts>
  <fonts count="18" x14ac:knownFonts="1">
    <font>
      <sz val="11"/>
      <color theme="1"/>
      <name val="Calibri"/>
      <family val="2"/>
      <scheme val="minor"/>
    </font>
    <font>
      <b/>
      <sz val="11"/>
      <color theme="1"/>
      <name val="Calibri"/>
      <family val="2"/>
      <scheme val="minor"/>
    </font>
    <font>
      <b/>
      <sz val="11"/>
      <color theme="0"/>
      <name val="Calibri"/>
      <family val="2"/>
      <scheme val="minor"/>
    </font>
    <font>
      <i/>
      <sz val="11"/>
      <color theme="1"/>
      <name val="Calibri"/>
      <family val="2"/>
      <scheme val="minor"/>
    </font>
    <font>
      <sz val="11"/>
      <name val="Calibri"/>
      <family val="2"/>
      <scheme val="minor"/>
    </font>
    <font>
      <i/>
      <sz val="11"/>
      <color rgb="FFFF0000"/>
      <name val="Calibri"/>
      <family val="2"/>
      <scheme val="minor"/>
    </font>
    <font>
      <sz val="22"/>
      <color theme="1"/>
      <name val="Calibri"/>
      <family val="2"/>
      <scheme val="minor"/>
    </font>
    <font>
      <sz val="18"/>
      <color theme="1"/>
      <name val="Calibri"/>
      <family val="2"/>
      <scheme val="minor"/>
    </font>
    <font>
      <sz val="10"/>
      <color theme="1"/>
      <name val="Calibri"/>
      <family val="2"/>
      <scheme val="minor"/>
    </font>
    <font>
      <u/>
      <sz val="11"/>
      <color theme="1"/>
      <name val="Calibri"/>
      <family val="2"/>
      <scheme val="minor"/>
    </font>
    <font>
      <b/>
      <i/>
      <sz val="11"/>
      <color theme="1"/>
      <name val="Calibri"/>
      <family val="2"/>
      <scheme val="minor"/>
    </font>
    <font>
      <sz val="11"/>
      <color theme="1"/>
      <name val="Calibri"/>
      <family val="2"/>
      <scheme val="minor"/>
    </font>
    <font>
      <sz val="11"/>
      <color rgb="FFFF0000"/>
      <name val="Calibri"/>
      <family val="2"/>
      <scheme val="minor"/>
    </font>
    <font>
      <strike/>
      <sz val="11"/>
      <color theme="1"/>
      <name val="Calibri"/>
      <family val="2"/>
      <scheme val="minor"/>
    </font>
    <font>
      <b/>
      <sz val="14"/>
      <color theme="1"/>
      <name val="Calibri"/>
      <family val="2"/>
      <scheme val="minor"/>
    </font>
    <font>
      <vertAlign val="superscript"/>
      <sz val="11"/>
      <color theme="1"/>
      <name val="Calibri"/>
      <family val="2"/>
      <scheme val="minor"/>
    </font>
    <font>
      <sz val="26"/>
      <color rgb="FFFF0000"/>
      <name val="Calibri"/>
      <family val="2"/>
      <scheme val="minor"/>
    </font>
    <font>
      <sz val="8"/>
      <name val="Calibri"/>
      <family val="2"/>
      <scheme val="minor"/>
    </font>
  </fonts>
  <fills count="15">
    <fill>
      <patternFill patternType="none"/>
    </fill>
    <fill>
      <patternFill patternType="gray125"/>
    </fill>
    <fill>
      <patternFill patternType="solid">
        <fgColor theme="9" tint="0.79998168889431442"/>
        <bgColor indexed="64"/>
      </patternFill>
    </fill>
    <fill>
      <patternFill patternType="solid">
        <fgColor theme="4"/>
        <bgColor theme="4"/>
      </patternFill>
    </fill>
    <fill>
      <patternFill patternType="solid">
        <fgColor theme="4" tint="0.79998168889431442"/>
        <bgColor theme="4" tint="0.79998168889431442"/>
      </patternFill>
    </fill>
    <fill>
      <patternFill patternType="solid">
        <fgColor theme="5" tint="0.79998168889431442"/>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theme="8" tint="0.79998168889431442"/>
        <bgColor indexed="64"/>
      </patternFill>
    </fill>
    <fill>
      <patternFill patternType="solid">
        <fgColor theme="8" tint="-0.249977111117893"/>
        <bgColor indexed="64"/>
      </patternFill>
    </fill>
    <fill>
      <patternFill patternType="solid">
        <fgColor theme="4" tint="0.39997558519241921"/>
        <bgColor indexed="64"/>
      </patternFill>
    </fill>
    <fill>
      <patternFill patternType="solid">
        <fgColor theme="4" tint="-0.499984740745262"/>
        <bgColor indexed="64"/>
      </patternFill>
    </fill>
    <fill>
      <patternFill patternType="solid">
        <fgColor theme="2"/>
        <bgColor indexed="64"/>
      </patternFill>
    </fill>
    <fill>
      <patternFill patternType="solid">
        <fgColor theme="9" tint="-0.499984740745262"/>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bottom/>
      <diagonal/>
    </border>
  </borders>
  <cellStyleXfs count="2">
    <xf numFmtId="0" fontId="0" fillId="0" borderId="0"/>
    <xf numFmtId="43" fontId="11" fillId="0" borderId="0" applyFont="0" applyFill="0" applyBorder="0" applyAlignment="0" applyProtection="0"/>
  </cellStyleXfs>
  <cellXfs count="253">
    <xf numFmtId="0" fontId="0" fillId="0" borderId="0" xfId="0"/>
    <xf numFmtId="0" fontId="0" fillId="0" borderId="1" xfId="0" applyBorder="1"/>
    <xf numFmtId="0" fontId="1" fillId="0" borderId="0" xfId="0" applyFont="1"/>
    <xf numFmtId="0" fontId="0" fillId="0" borderId="0" xfId="0" applyAlignment="1">
      <alignment wrapText="1"/>
    </xf>
    <xf numFmtId="0" fontId="2" fillId="3" borderId="1" xfId="0" applyFont="1" applyFill="1" applyBorder="1"/>
    <xf numFmtId="0" fontId="4" fillId="4" borderId="1" xfId="0" applyFont="1" applyFill="1" applyBorder="1" applyAlignment="1">
      <alignment horizontal="right"/>
    </xf>
    <xf numFmtId="0" fontId="0" fillId="4" borderId="1" xfId="0" applyFont="1" applyFill="1" applyBorder="1"/>
    <xf numFmtId="0" fontId="0" fillId="4" borderId="1" xfId="0" applyFont="1" applyFill="1" applyBorder="1" applyAlignment="1">
      <alignment horizontal="right"/>
    </xf>
    <xf numFmtId="0" fontId="4" fillId="4" borderId="1" xfId="0" applyFont="1" applyFill="1" applyBorder="1" applyAlignment="1">
      <alignment horizontal="left"/>
    </xf>
    <xf numFmtId="0" fontId="0" fillId="4" borderId="1" xfId="0" applyFont="1" applyFill="1" applyBorder="1" applyAlignment="1">
      <alignment horizontal="left"/>
    </xf>
    <xf numFmtId="0" fontId="2" fillId="3" borderId="1" xfId="0" applyFont="1" applyFill="1" applyBorder="1" applyAlignment="1">
      <alignment horizontal="right"/>
    </xf>
    <xf numFmtId="0" fontId="1" fillId="0" borderId="1" xfId="0" applyFont="1" applyBorder="1"/>
    <xf numFmtId="0" fontId="0" fillId="7" borderId="1" xfId="0" applyFill="1" applyBorder="1"/>
    <xf numFmtId="0" fontId="0" fillId="5" borderId="1" xfId="0" applyFill="1" applyBorder="1"/>
    <xf numFmtId="0" fontId="0" fillId="6" borderId="1" xfId="0" applyFill="1" applyBorder="1"/>
    <xf numFmtId="0" fontId="0" fillId="2" borderId="1" xfId="0" applyFill="1" applyBorder="1"/>
    <xf numFmtId="2" fontId="0" fillId="4" borderId="1" xfId="0" applyNumberFormat="1" applyFont="1" applyFill="1" applyBorder="1"/>
    <xf numFmtId="0" fontId="0" fillId="0" borderId="1" xfId="0" applyFont="1" applyBorder="1"/>
    <xf numFmtId="2" fontId="0" fillId="0" borderId="1" xfId="0" applyNumberFormat="1" applyFont="1" applyBorder="1"/>
    <xf numFmtId="0" fontId="2" fillId="3" borderId="4" xfId="0" applyFont="1" applyFill="1" applyBorder="1"/>
    <xf numFmtId="0" fontId="2" fillId="3" borderId="3" xfId="0" applyFont="1" applyFill="1" applyBorder="1"/>
    <xf numFmtId="0" fontId="0" fillId="4" borderId="4" xfId="0" applyFont="1" applyFill="1" applyBorder="1"/>
    <xf numFmtId="0" fontId="0" fillId="4" borderId="3" xfId="0" applyFont="1" applyFill="1" applyBorder="1"/>
    <xf numFmtId="0" fontId="0" fillId="0" borderId="4" xfId="0" applyFont="1" applyBorder="1"/>
    <xf numFmtId="0" fontId="0" fillId="0" borderId="3" xfId="0" applyFont="1" applyBorder="1"/>
    <xf numFmtId="0" fontId="0" fillId="0" borderId="2" xfId="0" applyFont="1" applyBorder="1"/>
    <xf numFmtId="0" fontId="6" fillId="0" borderId="0" xfId="0" applyFont="1" applyAlignment="1">
      <alignment horizontal="center"/>
    </xf>
    <xf numFmtId="0" fontId="0" fillId="0" borderId="0" xfId="0" applyAlignment="1">
      <alignment horizontal="center"/>
    </xf>
    <xf numFmtId="0" fontId="8" fillId="0" borderId="0" xfId="0" applyFont="1"/>
    <xf numFmtId="0" fontId="0" fillId="0" borderId="0" xfId="0" applyAlignment="1">
      <alignment horizontal="left"/>
    </xf>
    <xf numFmtId="0" fontId="1" fillId="0" borderId="1" xfId="0" applyFont="1" applyBorder="1" applyAlignment="1">
      <alignment horizontal="center"/>
    </xf>
    <xf numFmtId="0" fontId="0" fillId="7" borderId="1" xfId="0" applyFill="1" applyBorder="1" applyProtection="1">
      <protection locked="0"/>
    </xf>
    <xf numFmtId="2" fontId="0" fillId="6" borderId="1" xfId="0" applyNumberFormat="1" applyFill="1" applyBorder="1" applyProtection="1">
      <protection locked="0"/>
    </xf>
    <xf numFmtId="0" fontId="0" fillId="5" borderId="1" xfId="0" applyFill="1" applyBorder="1" applyProtection="1">
      <protection locked="0"/>
    </xf>
    <xf numFmtId="0" fontId="0" fillId="6" borderId="1" xfId="0" applyFill="1" applyBorder="1" applyProtection="1">
      <protection locked="0"/>
    </xf>
    <xf numFmtId="0" fontId="0" fillId="2" borderId="1" xfId="0" applyFill="1" applyBorder="1" applyProtection="1"/>
    <xf numFmtId="164" fontId="0" fillId="2" borderId="1" xfId="0" applyNumberFormat="1" applyFill="1" applyBorder="1" applyProtection="1"/>
    <xf numFmtId="14" fontId="0" fillId="2" borderId="1" xfId="0" applyNumberFormat="1" applyFill="1" applyBorder="1" applyProtection="1"/>
    <xf numFmtId="0" fontId="1" fillId="0" borderId="0" xfId="0" applyFont="1" applyAlignment="1">
      <alignment wrapText="1"/>
    </xf>
    <xf numFmtId="165" fontId="0" fillId="0" borderId="0" xfId="0" applyNumberFormat="1" applyAlignment="1">
      <alignment horizontal="left" wrapText="1"/>
    </xf>
    <xf numFmtId="0" fontId="0" fillId="0" borderId="0" xfId="0" applyAlignment="1">
      <alignment horizontal="left" wrapText="1" indent="1"/>
    </xf>
    <xf numFmtId="0" fontId="1" fillId="0" borderId="0" xfId="0" applyFont="1" applyAlignment="1">
      <alignment horizontal="left" wrapText="1" indent="1"/>
    </xf>
    <xf numFmtId="0" fontId="0" fillId="9" borderId="0" xfId="0" applyFill="1" applyAlignment="1">
      <alignment wrapText="1"/>
    </xf>
    <xf numFmtId="0" fontId="0" fillId="5" borderId="0" xfId="0" applyFill="1" applyAlignment="1">
      <alignment wrapText="1"/>
    </xf>
    <xf numFmtId="0" fontId="0" fillId="6" borderId="0" xfId="0" applyFill="1" applyAlignment="1">
      <alignment wrapText="1"/>
    </xf>
    <xf numFmtId="0" fontId="0" fillId="2" borderId="0" xfId="0" applyFill="1" applyAlignment="1">
      <alignment wrapText="1"/>
    </xf>
    <xf numFmtId="15" fontId="2" fillId="10" borderId="0" xfId="0" applyNumberFormat="1" applyFont="1" applyFill="1" applyAlignment="1">
      <alignment wrapText="1"/>
    </xf>
    <xf numFmtId="0" fontId="2" fillId="10" borderId="0" xfId="0" applyFont="1" applyFill="1" applyAlignment="1">
      <alignment wrapText="1"/>
    </xf>
    <xf numFmtId="0" fontId="1" fillId="0" borderId="0" xfId="0" applyFont="1" applyFill="1" applyAlignment="1">
      <alignment horizontal="left" wrapText="1" indent="1"/>
    </xf>
    <xf numFmtId="165" fontId="0" fillId="0" borderId="0" xfId="0" applyNumberFormat="1" applyFill="1" applyAlignment="1">
      <alignment horizontal="left" wrapText="1"/>
    </xf>
    <xf numFmtId="0" fontId="10" fillId="11" borderId="0" xfId="0" applyFont="1" applyFill="1" applyAlignment="1">
      <alignment horizontal="center" wrapText="1"/>
    </xf>
    <xf numFmtId="0" fontId="0" fillId="0" borderId="0" xfId="0" applyAlignment="1">
      <alignment horizontal="center"/>
    </xf>
    <xf numFmtId="0" fontId="0" fillId="0" borderId="0" xfId="0" applyAlignment="1">
      <alignment horizontal="center" wrapText="1"/>
    </xf>
    <xf numFmtId="0" fontId="0" fillId="0" borderId="1" xfId="0" applyBorder="1" applyAlignment="1">
      <alignment wrapText="1"/>
    </xf>
    <xf numFmtId="0" fontId="2" fillId="3" borderId="1" xfId="0" applyFont="1" applyFill="1" applyBorder="1" applyAlignment="1">
      <alignment horizontal="center"/>
    </xf>
    <xf numFmtId="0" fontId="2" fillId="3" borderId="0" xfId="0" applyFont="1" applyFill="1" applyBorder="1" applyAlignment="1">
      <alignment horizontal="center"/>
    </xf>
    <xf numFmtId="0" fontId="1" fillId="0" borderId="0" xfId="0" applyFont="1" applyAlignment="1">
      <alignment horizontal="center"/>
    </xf>
    <xf numFmtId="0" fontId="0" fillId="0" borderId="0" xfId="0" applyFill="1" applyBorder="1"/>
    <xf numFmtId="0" fontId="0" fillId="0" borderId="0" xfId="0" applyBorder="1"/>
    <xf numFmtId="0" fontId="0" fillId="2" borderId="1" xfId="0" applyFill="1" applyBorder="1" applyAlignment="1">
      <alignment horizontal="center"/>
    </xf>
    <xf numFmtId="0" fontId="1" fillId="0" borderId="11" xfId="0" applyFont="1" applyFill="1" applyBorder="1" applyAlignment="1">
      <alignment horizontal="center"/>
    </xf>
    <xf numFmtId="0" fontId="1" fillId="0" borderId="1" xfId="0" applyFont="1" applyFill="1" applyBorder="1" applyAlignment="1">
      <alignment horizontal="center"/>
    </xf>
    <xf numFmtId="0" fontId="1" fillId="0" borderId="1" xfId="0" applyFont="1" applyBorder="1" applyAlignment="1">
      <alignment horizontal="center" wrapText="1"/>
    </xf>
    <xf numFmtId="0" fontId="1" fillId="0" borderId="0" xfId="0" applyFont="1" applyFill="1" applyAlignment="1">
      <alignment horizontal="center"/>
    </xf>
    <xf numFmtId="0" fontId="0" fillId="0" borderId="0" xfId="0" applyFill="1" applyBorder="1" applyAlignment="1">
      <alignment horizontal="center" wrapText="1"/>
    </xf>
    <xf numFmtId="0" fontId="0" fillId="0" borderId="0" xfId="0" applyBorder="1" applyAlignment="1">
      <alignment horizontal="center" wrapText="1"/>
    </xf>
    <xf numFmtId="0" fontId="0" fillId="0" borderId="0" xfId="0" applyBorder="1" applyAlignment="1">
      <alignment horizontal="center"/>
    </xf>
    <xf numFmtId="0" fontId="0" fillId="0" borderId="3" xfId="0" applyBorder="1"/>
    <xf numFmtId="0" fontId="0" fillId="0" borderId="17" xfId="0" applyFont="1" applyBorder="1"/>
    <xf numFmtId="0" fontId="0" fillId="0" borderId="17" xfId="0" applyFont="1" applyBorder="1" applyAlignment="1"/>
    <xf numFmtId="0" fontId="0" fillId="0" borderId="18" xfId="0" applyFont="1" applyBorder="1" applyAlignment="1">
      <alignment wrapText="1"/>
    </xf>
    <xf numFmtId="0" fontId="0" fillId="0" borderId="19" xfId="0" applyFont="1" applyBorder="1"/>
    <xf numFmtId="0" fontId="0" fillId="0" borderId="21" xfId="0" applyFont="1" applyBorder="1" applyAlignment="1">
      <alignment wrapText="1"/>
    </xf>
    <xf numFmtId="0" fontId="0" fillId="0" borderId="17" xfId="0" applyFont="1" applyBorder="1" applyAlignment="1">
      <alignment wrapText="1"/>
    </xf>
    <xf numFmtId="0" fontId="0" fillId="0" borderId="19" xfId="0" applyFont="1" applyBorder="1" applyAlignment="1">
      <alignment wrapText="1"/>
    </xf>
    <xf numFmtId="2" fontId="0" fillId="2" borderId="1" xfId="0" applyNumberFormat="1" applyFill="1" applyBorder="1"/>
    <xf numFmtId="2" fontId="0" fillId="2" borderId="1" xfId="0" applyNumberFormat="1" applyFill="1" applyBorder="1" applyAlignment="1">
      <alignment wrapText="1"/>
    </xf>
    <xf numFmtId="2" fontId="0" fillId="2" borderId="1" xfId="0" applyNumberFormat="1" applyFill="1" applyBorder="1" applyProtection="1"/>
    <xf numFmtId="166" fontId="0" fillId="2" borderId="1" xfId="0" applyNumberFormat="1" applyFill="1" applyBorder="1" applyProtection="1"/>
    <xf numFmtId="0" fontId="0" fillId="0" borderId="1" xfId="0" applyFill="1" applyBorder="1" applyAlignment="1" applyProtection="1">
      <alignment horizontal="center"/>
    </xf>
    <xf numFmtId="0" fontId="1" fillId="8" borderId="0" xfId="0" applyFont="1" applyFill="1" applyAlignment="1">
      <alignment horizontal="center"/>
    </xf>
    <xf numFmtId="0" fontId="13" fillId="8" borderId="1" xfId="0" applyFont="1" applyFill="1" applyBorder="1" applyProtection="1">
      <protection locked="0"/>
    </xf>
    <xf numFmtId="0" fontId="0" fillId="8" borderId="1" xfId="0" applyFill="1" applyBorder="1" applyProtection="1"/>
    <xf numFmtId="164" fontId="0" fillId="8" borderId="1" xfId="0" applyNumberFormat="1" applyFill="1" applyBorder="1" applyProtection="1"/>
    <xf numFmtId="0" fontId="0" fillId="0" borderId="1" xfId="0" applyBorder="1" applyAlignment="1">
      <alignment horizontal="center"/>
    </xf>
    <xf numFmtId="0" fontId="0" fillId="0" borderId="18" xfId="0" applyFont="1" applyBorder="1" applyAlignment="1">
      <alignment wrapText="1"/>
    </xf>
    <xf numFmtId="0" fontId="0" fillId="0" borderId="19" xfId="0" applyFont="1" applyBorder="1" applyAlignment="1">
      <alignment horizontal="left" wrapText="1"/>
    </xf>
    <xf numFmtId="0" fontId="0" fillId="0" borderId="17" xfId="0" applyFont="1" applyBorder="1" applyAlignment="1">
      <alignment horizontal="left" wrapText="1"/>
    </xf>
    <xf numFmtId="0" fontId="0" fillId="0" borderId="1" xfId="0" applyBorder="1" applyAlignment="1">
      <alignment horizontal="center"/>
    </xf>
    <xf numFmtId="0" fontId="0" fillId="0" borderId="18" xfId="0" applyFont="1" applyBorder="1" applyAlignment="1">
      <alignment horizontal="center"/>
    </xf>
    <xf numFmtId="0" fontId="0" fillId="0" borderId="21" xfId="0" applyFont="1" applyBorder="1" applyAlignment="1">
      <alignment horizontal="center"/>
    </xf>
    <xf numFmtId="0" fontId="0" fillId="0" borderId="0" xfId="0" applyFont="1"/>
    <xf numFmtId="0" fontId="0" fillId="0" borderId="0" xfId="0" applyFont="1" applyAlignment="1">
      <alignment horizontal="center"/>
    </xf>
    <xf numFmtId="0" fontId="0" fillId="0" borderId="1" xfId="0" applyFont="1" applyBorder="1" applyAlignment="1">
      <alignment horizontal="center"/>
    </xf>
    <xf numFmtId="0" fontId="0" fillId="0" borderId="22" xfId="0" applyBorder="1"/>
    <xf numFmtId="0" fontId="0" fillId="0" borderId="17" xfId="0" applyBorder="1"/>
    <xf numFmtId="2" fontId="0" fillId="2" borderId="1" xfId="1" applyNumberFormat="1" applyFont="1" applyFill="1" applyBorder="1" applyProtection="1"/>
    <xf numFmtId="0" fontId="1" fillId="13" borderId="0" xfId="0" applyFont="1" applyFill="1" applyAlignment="1">
      <alignment horizontal="center"/>
    </xf>
    <xf numFmtId="2" fontId="0" fillId="13" borderId="1" xfId="0" applyNumberFormat="1" applyFill="1" applyBorder="1" applyProtection="1"/>
    <xf numFmtId="2" fontId="0" fillId="13" borderId="1" xfId="0" applyNumberFormat="1" applyFill="1" applyBorder="1"/>
    <xf numFmtId="0" fontId="0" fillId="0" borderId="0" xfId="0" quotePrefix="1" applyNumberFormat="1"/>
    <xf numFmtId="0" fontId="1" fillId="0" borderId="30" xfId="0" applyFont="1" applyFill="1" applyBorder="1"/>
    <xf numFmtId="0" fontId="1" fillId="13" borderId="0" xfId="0" applyFont="1" applyFill="1" applyBorder="1" applyAlignment="1">
      <alignment horizontal="center"/>
    </xf>
    <xf numFmtId="0" fontId="0" fillId="0" borderId="0" xfId="0" applyFont="1" applyAlignment="1">
      <alignment wrapText="1"/>
    </xf>
    <xf numFmtId="0" fontId="0" fillId="0" borderId="0" xfId="0" applyFont="1" applyBorder="1"/>
    <xf numFmtId="0" fontId="0" fillId="7" borderId="1" xfId="0" applyFill="1" applyBorder="1" applyAlignment="1" applyProtection="1">
      <alignment wrapText="1"/>
      <protection locked="0"/>
    </xf>
    <xf numFmtId="0" fontId="0" fillId="0" borderId="0" xfId="0" applyAlignment="1">
      <alignment horizontal="left" wrapText="1"/>
    </xf>
    <xf numFmtId="0" fontId="0" fillId="0" borderId="20" xfId="0" applyFont="1" applyBorder="1" applyAlignment="1">
      <alignment horizontal="center"/>
    </xf>
    <xf numFmtId="2" fontId="0" fillId="0" borderId="18" xfId="0" applyNumberFormat="1" applyFont="1" applyBorder="1" applyAlignment="1">
      <alignment horizontal="center"/>
    </xf>
    <xf numFmtId="2" fontId="0" fillId="0" borderId="21" xfId="0" applyNumberFormat="1" applyFont="1" applyBorder="1" applyAlignment="1">
      <alignment horizontal="center"/>
    </xf>
    <xf numFmtId="2" fontId="0" fillId="0" borderId="20" xfId="0" applyNumberFormat="1" applyFont="1" applyBorder="1" applyAlignment="1">
      <alignment horizontal="center"/>
    </xf>
    <xf numFmtId="0" fontId="3" fillId="0" borderId="0" xfId="0" applyFont="1" applyBorder="1" applyAlignment="1">
      <alignment horizontal="center"/>
    </xf>
    <xf numFmtId="0" fontId="3" fillId="0" borderId="26" xfId="0" applyFont="1" applyBorder="1" applyAlignment="1">
      <alignment horizontal="center"/>
    </xf>
    <xf numFmtId="0" fontId="3" fillId="0" borderId="1" xfId="0" applyFont="1" applyFill="1" applyBorder="1" applyAlignment="1">
      <alignment horizontal="center"/>
    </xf>
    <xf numFmtId="2" fontId="0" fillId="0" borderId="1" xfId="0" applyNumberFormat="1" applyFont="1" applyBorder="1" applyAlignment="1">
      <alignment horizontal="center"/>
    </xf>
    <xf numFmtId="164" fontId="0" fillId="0" borderId="1" xfId="0" applyNumberFormat="1" applyFont="1" applyBorder="1" applyAlignment="1">
      <alignment horizontal="center"/>
    </xf>
    <xf numFmtId="2" fontId="0" fillId="0" borderId="1" xfId="0" applyNumberFormat="1" applyFont="1" applyBorder="1" applyAlignment="1">
      <alignment horizontal="center" wrapText="1"/>
    </xf>
    <xf numFmtId="164" fontId="0" fillId="0" borderId="1" xfId="0" applyNumberFormat="1" applyFont="1" applyBorder="1" applyAlignment="1">
      <alignment horizontal="center" wrapText="1"/>
    </xf>
    <xf numFmtId="0" fontId="0" fillId="0" borderId="2" xfId="0" applyFont="1" applyBorder="1" applyAlignment="1">
      <alignment horizontal="center" wrapText="1"/>
    </xf>
    <xf numFmtId="0" fontId="0" fillId="13" borderId="18" xfId="0" applyFont="1" applyFill="1" applyBorder="1" applyAlignment="1">
      <alignment wrapText="1"/>
    </xf>
    <xf numFmtId="0" fontId="0" fillId="13" borderId="25" xfId="0" applyFont="1" applyFill="1" applyBorder="1"/>
    <xf numFmtId="0" fontId="0" fillId="0" borderId="18" xfId="0" applyFont="1" applyFill="1" applyBorder="1" applyAlignment="1">
      <alignment horizontal="center"/>
    </xf>
    <xf numFmtId="0" fontId="0" fillId="0" borderId="21" xfId="0" applyFont="1" applyFill="1" applyBorder="1" applyAlignment="1">
      <alignment horizontal="center"/>
    </xf>
    <xf numFmtId="0" fontId="0" fillId="13" borderId="1" xfId="0" applyFill="1" applyBorder="1"/>
    <xf numFmtId="0" fontId="0" fillId="0" borderId="11" xfId="0" applyFill="1" applyBorder="1" applyAlignment="1"/>
    <xf numFmtId="0" fontId="0" fillId="0" borderId="0" xfId="0" applyFill="1" applyAlignment="1"/>
    <xf numFmtId="0" fontId="0" fillId="0" borderId="11" xfId="0" applyFont="1" applyBorder="1" applyAlignment="1">
      <alignment horizontal="center"/>
    </xf>
    <xf numFmtId="0" fontId="8" fillId="0" borderId="11" xfId="0" applyFont="1" applyBorder="1"/>
    <xf numFmtId="0" fontId="0" fillId="0" borderId="11" xfId="0" applyFont="1" applyBorder="1"/>
    <xf numFmtId="14" fontId="0" fillId="0" borderId="11" xfId="0" applyNumberFormat="1" applyFont="1" applyBorder="1" applyAlignment="1">
      <alignment horizontal="center"/>
    </xf>
    <xf numFmtId="0" fontId="0" fillId="0" borderId="12" xfId="0" applyFont="1" applyBorder="1"/>
    <xf numFmtId="0" fontId="0" fillId="0" borderId="8" xfId="0" applyFont="1" applyBorder="1" applyAlignment="1">
      <alignment horizontal="center"/>
    </xf>
    <xf numFmtId="0" fontId="8" fillId="0" borderId="8" xfId="0" applyFont="1" applyBorder="1"/>
    <xf numFmtId="0" fontId="0" fillId="0" borderId="8" xfId="0" applyFont="1" applyBorder="1"/>
    <xf numFmtId="0" fontId="0" fillId="0" borderId="13" xfId="0" applyFont="1" applyBorder="1"/>
    <xf numFmtId="0" fontId="0" fillId="13" borderId="18" xfId="0" applyFont="1" applyFill="1" applyBorder="1" applyAlignment="1">
      <alignment horizontal="center"/>
    </xf>
    <xf numFmtId="0" fontId="0" fillId="0" borderId="18" xfId="0" applyFont="1" applyBorder="1" applyAlignment="1">
      <alignment horizontal="left"/>
    </xf>
    <xf numFmtId="0" fontId="0" fillId="0" borderId="21" xfId="0" applyFont="1" applyBorder="1" applyAlignment="1">
      <alignment horizontal="left"/>
    </xf>
    <xf numFmtId="0" fontId="0" fillId="0" borderId="27" xfId="0" applyFont="1" applyBorder="1" applyAlignment="1">
      <alignment horizontal="left" wrapText="1"/>
    </xf>
    <xf numFmtId="0" fontId="0" fillId="13" borderId="18" xfId="0" applyFont="1" applyFill="1" applyBorder="1"/>
    <xf numFmtId="0" fontId="0" fillId="0" borderId="18" xfId="0" applyFont="1" applyBorder="1"/>
    <xf numFmtId="0" fontId="0" fillId="0" borderId="29" xfId="0" applyFont="1" applyBorder="1" applyAlignment="1">
      <alignment horizontal="left" wrapText="1"/>
    </xf>
    <xf numFmtId="0" fontId="0" fillId="0" borderId="21" xfId="0" applyFont="1" applyBorder="1"/>
    <xf numFmtId="0" fontId="0" fillId="13" borderId="27" xfId="0" applyFont="1" applyFill="1" applyBorder="1" applyAlignment="1">
      <alignment horizontal="left" wrapText="1"/>
    </xf>
    <xf numFmtId="0" fontId="3" fillId="0" borderId="18" xfId="0" applyFont="1" applyFill="1" applyBorder="1" applyAlignment="1">
      <alignment horizontal="center"/>
    </xf>
    <xf numFmtId="2" fontId="2" fillId="13" borderId="27" xfId="0" applyNumberFormat="1" applyFont="1" applyFill="1" applyBorder="1" applyAlignment="1">
      <alignment horizontal="left" wrapText="1"/>
    </xf>
    <xf numFmtId="0" fontId="16" fillId="0" borderId="0" xfId="0" applyFont="1"/>
    <xf numFmtId="0" fontId="0" fillId="0" borderId="1" xfId="0" applyFont="1" applyBorder="1" applyAlignment="1">
      <alignment horizontal="center" wrapText="1"/>
    </xf>
    <xf numFmtId="0" fontId="0" fillId="0" borderId="1" xfId="0" applyFont="1" applyBorder="1" applyAlignment="1">
      <alignment horizontal="center" wrapText="1"/>
    </xf>
    <xf numFmtId="164" fontId="0" fillId="6" borderId="1" xfId="0" applyNumberFormat="1" applyFill="1" applyBorder="1" applyProtection="1">
      <protection locked="0"/>
    </xf>
    <xf numFmtId="2" fontId="0" fillId="2" borderId="3" xfId="0" applyNumberFormat="1" applyFill="1" applyBorder="1" applyProtection="1"/>
    <xf numFmtId="2" fontId="0" fillId="0" borderId="1" xfId="0" applyNumberFormat="1" applyFont="1" applyBorder="1" applyAlignment="1">
      <alignment wrapText="1"/>
    </xf>
    <xf numFmtId="2" fontId="0" fillId="0" borderId="20" xfId="0" applyNumberFormat="1" applyFont="1" applyBorder="1" applyAlignment="1">
      <alignment wrapText="1"/>
    </xf>
    <xf numFmtId="0" fontId="0" fillId="13" borderId="18" xfId="0" applyFont="1" applyFill="1" applyBorder="1" applyAlignment="1">
      <alignment horizontal="left" wrapText="1"/>
    </xf>
    <xf numFmtId="0" fontId="0" fillId="5" borderId="1" xfId="0" applyFill="1" applyBorder="1" applyAlignment="1" applyProtection="1">
      <alignment horizontal="center"/>
      <protection locked="0"/>
    </xf>
    <xf numFmtId="2" fontId="0" fillId="2" borderId="1" xfId="0" applyNumberFormat="1" applyFont="1" applyFill="1" applyBorder="1" applyProtection="1"/>
    <xf numFmtId="0" fontId="0" fillId="0" borderId="1" xfId="0" applyFill="1" applyBorder="1"/>
    <xf numFmtId="0" fontId="0" fillId="0" borderId="24" xfId="0" applyFill="1" applyBorder="1"/>
    <xf numFmtId="0" fontId="0" fillId="0" borderId="19" xfId="0" applyBorder="1"/>
    <xf numFmtId="0" fontId="0" fillId="0" borderId="21" xfId="0" applyFill="1" applyBorder="1"/>
    <xf numFmtId="166" fontId="0" fillId="2" borderId="1" xfId="0" applyNumberFormat="1" applyFill="1" applyBorder="1"/>
    <xf numFmtId="166" fontId="0" fillId="2" borderId="23" xfId="0" applyNumberFormat="1" applyFill="1" applyBorder="1"/>
    <xf numFmtId="0" fontId="0" fillId="0" borderId="18" xfId="0" applyFill="1" applyBorder="1"/>
    <xf numFmtId="0" fontId="0" fillId="13" borderId="21" xfId="0" applyFill="1" applyBorder="1"/>
    <xf numFmtId="0" fontId="5" fillId="0" borderId="19" xfId="0" applyFont="1" applyBorder="1" applyAlignment="1"/>
    <xf numFmtId="0" fontId="5" fillId="13" borderId="20" xfId="0" applyFont="1" applyFill="1" applyBorder="1" applyAlignment="1"/>
    <xf numFmtId="2" fontId="0" fillId="0" borderId="1" xfId="0" applyNumberFormat="1" applyBorder="1" applyAlignment="1">
      <alignment horizontal="center"/>
    </xf>
    <xf numFmtId="2" fontId="0" fillId="0" borderId="20" xfId="0" applyNumberFormat="1" applyBorder="1" applyAlignment="1">
      <alignment horizontal="center"/>
    </xf>
    <xf numFmtId="0" fontId="1" fillId="13" borderId="3" xfId="0" applyFont="1" applyFill="1" applyBorder="1" applyAlignment="1">
      <alignment horizontal="center"/>
    </xf>
    <xf numFmtId="0" fontId="0" fillId="0" borderId="2" xfId="0" applyBorder="1" applyAlignment="1">
      <alignment horizontal="left" wrapText="1"/>
    </xf>
    <xf numFmtId="0" fontId="0" fillId="0" borderId="5" xfId="0" applyBorder="1" applyAlignment="1">
      <alignment horizontal="left" wrapText="1"/>
    </xf>
    <xf numFmtId="0" fontId="1" fillId="8" borderId="1" xfId="0" applyFont="1" applyFill="1" applyBorder="1" applyAlignment="1">
      <alignment horizontal="center"/>
    </xf>
    <xf numFmtId="0" fontId="1" fillId="8" borderId="2" xfId="0" applyFont="1" applyFill="1" applyBorder="1" applyAlignment="1">
      <alignment horizontal="center"/>
    </xf>
    <xf numFmtId="0" fontId="1" fillId="8" borderId="9" xfId="0" applyFont="1" applyFill="1" applyBorder="1" applyAlignment="1">
      <alignment horizontal="center"/>
    </xf>
    <xf numFmtId="0" fontId="1" fillId="8" borderId="5" xfId="0" applyFont="1" applyFill="1" applyBorder="1" applyAlignment="1">
      <alignment horizontal="center"/>
    </xf>
    <xf numFmtId="0" fontId="1" fillId="8" borderId="11" xfId="0" applyFont="1" applyFill="1" applyBorder="1" applyAlignment="1">
      <alignment horizontal="center"/>
    </xf>
    <xf numFmtId="14" fontId="0" fillId="0" borderId="1" xfId="0" applyNumberFormat="1" applyFont="1" applyBorder="1" applyAlignment="1">
      <alignment horizontal="center" wrapText="1"/>
    </xf>
    <xf numFmtId="14" fontId="0" fillId="0" borderId="18" xfId="0" applyNumberFormat="1" applyFont="1" applyBorder="1" applyAlignment="1">
      <alignment horizontal="center" wrapText="1"/>
    </xf>
    <xf numFmtId="0" fontId="0" fillId="0" borderId="1" xfId="0" applyFont="1" applyBorder="1" applyAlignment="1">
      <alignment horizontal="center" wrapText="1"/>
    </xf>
    <xf numFmtId="0" fontId="0" fillId="0" borderId="18" xfId="0" applyFont="1" applyBorder="1" applyAlignment="1">
      <alignment horizontal="center" wrapText="1"/>
    </xf>
    <xf numFmtId="0" fontId="2" fillId="10" borderId="14" xfId="0" applyFont="1" applyFill="1" applyBorder="1" applyAlignment="1">
      <alignment horizontal="center"/>
    </xf>
    <xf numFmtId="0" fontId="2" fillId="10" borderId="15" xfId="0" applyFont="1" applyFill="1" applyBorder="1" applyAlignment="1">
      <alignment horizontal="center"/>
    </xf>
    <xf numFmtId="0" fontId="2" fillId="10" borderId="16" xfId="0" applyFont="1" applyFill="1" applyBorder="1" applyAlignment="1">
      <alignment horizontal="center"/>
    </xf>
    <xf numFmtId="0" fontId="2" fillId="10" borderId="22" xfId="0" applyFont="1" applyFill="1" applyBorder="1" applyAlignment="1">
      <alignment horizontal="center"/>
    </xf>
    <xf numFmtId="0" fontId="2" fillId="10" borderId="23" xfId="0" applyFont="1" applyFill="1" applyBorder="1" applyAlignment="1">
      <alignment horizontal="center"/>
    </xf>
    <xf numFmtId="0" fontId="2" fillId="10" borderId="24" xfId="0" applyFont="1" applyFill="1" applyBorder="1" applyAlignment="1">
      <alignment horizontal="center"/>
    </xf>
    <xf numFmtId="0" fontId="0" fillId="0" borderId="19" xfId="0" applyFont="1" applyBorder="1" applyAlignment="1">
      <alignment horizontal="left" wrapText="1"/>
    </xf>
    <xf numFmtId="0" fontId="0" fillId="0" borderId="20" xfId="0" applyFont="1" applyBorder="1" applyAlignment="1">
      <alignment horizontal="left"/>
    </xf>
    <xf numFmtId="0" fontId="0" fillId="0" borderId="20" xfId="0" applyFont="1" applyBorder="1" applyAlignment="1">
      <alignment horizontal="left" wrapText="1"/>
    </xf>
    <xf numFmtId="0" fontId="14" fillId="0" borderId="0" xfId="0" applyFont="1" applyBorder="1" applyAlignment="1">
      <alignment horizontal="center"/>
    </xf>
    <xf numFmtId="0" fontId="0" fillId="0" borderId="17" xfId="0" applyFont="1" applyBorder="1" applyAlignment="1">
      <alignment horizontal="left" wrapText="1"/>
    </xf>
    <xf numFmtId="0" fontId="0" fillId="0" borderId="1" xfId="0" applyFont="1" applyBorder="1" applyAlignment="1">
      <alignment horizontal="left" wrapText="1"/>
    </xf>
    <xf numFmtId="0" fontId="0" fillId="0" borderId="1" xfId="0" applyFont="1" applyBorder="1" applyAlignment="1">
      <alignment horizontal="left"/>
    </xf>
    <xf numFmtId="0" fontId="0" fillId="0" borderId="12" xfId="0" applyBorder="1" applyAlignment="1">
      <alignment horizontal="center" wrapText="1"/>
    </xf>
    <xf numFmtId="0" fontId="0" fillId="0" borderId="13" xfId="0" applyBorder="1" applyAlignment="1">
      <alignment horizontal="center" wrapText="1"/>
    </xf>
    <xf numFmtId="0" fontId="0" fillId="7" borderId="1" xfId="0" applyFont="1" applyFill="1" applyBorder="1" applyProtection="1">
      <protection locked="0"/>
    </xf>
    <xf numFmtId="0" fontId="2" fillId="14" borderId="22" xfId="0" applyFont="1" applyFill="1" applyBorder="1" applyAlignment="1">
      <alignment horizontal="center"/>
    </xf>
    <xf numFmtId="0" fontId="2" fillId="14" borderId="23" xfId="0" applyFont="1" applyFill="1" applyBorder="1" applyAlignment="1">
      <alignment horizontal="center"/>
    </xf>
    <xf numFmtId="0" fontId="2" fillId="14" borderId="24" xfId="0" applyFont="1" applyFill="1" applyBorder="1" applyAlignment="1">
      <alignment horizontal="center"/>
    </xf>
    <xf numFmtId="0" fontId="7" fillId="0" borderId="0" xfId="0" applyFont="1" applyAlignment="1">
      <alignment horizontal="center"/>
    </xf>
    <xf numFmtId="0" fontId="2" fillId="12" borderId="22" xfId="0" applyFont="1" applyFill="1" applyBorder="1" applyAlignment="1">
      <alignment horizontal="center" vertical="center" wrapText="1"/>
    </xf>
    <xf numFmtId="0" fontId="2" fillId="12" borderId="23" xfId="0" applyFont="1" applyFill="1" applyBorder="1" applyAlignment="1">
      <alignment horizontal="center" vertical="center" wrapText="1"/>
    </xf>
    <xf numFmtId="0" fontId="2" fillId="12" borderId="24" xfId="0" applyFont="1" applyFill="1" applyBorder="1" applyAlignment="1">
      <alignment horizontal="center" vertical="center" wrapText="1"/>
    </xf>
    <xf numFmtId="0" fontId="2" fillId="12" borderId="22" xfId="0" applyFont="1" applyFill="1" applyBorder="1" applyAlignment="1">
      <alignment horizontal="center" wrapText="1"/>
    </xf>
    <xf numFmtId="0" fontId="2" fillId="12" borderId="23" xfId="0" applyFont="1" applyFill="1" applyBorder="1" applyAlignment="1">
      <alignment horizontal="center" wrapText="1"/>
    </xf>
    <xf numFmtId="0" fontId="2" fillId="12" borderId="24" xfId="0" applyFont="1" applyFill="1" applyBorder="1" applyAlignment="1">
      <alignment horizontal="center" wrapText="1"/>
    </xf>
    <xf numFmtId="0" fontId="0" fillId="0" borderId="1" xfId="0" applyFont="1" applyBorder="1" applyAlignment="1">
      <alignment horizontal="center"/>
    </xf>
    <xf numFmtId="0" fontId="0" fillId="0" borderId="18" xfId="0" applyFont="1" applyBorder="1" applyAlignment="1">
      <alignment horizontal="center"/>
    </xf>
    <xf numFmtId="14" fontId="0" fillId="0" borderId="1" xfId="0" applyNumberFormat="1" applyFont="1" applyBorder="1" applyAlignment="1">
      <alignment horizontal="center"/>
    </xf>
    <xf numFmtId="14" fontId="0" fillId="0" borderId="18" xfId="0" applyNumberFormat="1" applyFont="1" applyBorder="1" applyAlignment="1">
      <alignment horizontal="center"/>
    </xf>
    <xf numFmtId="2" fontId="2" fillId="12" borderId="22" xfId="0" applyNumberFormat="1" applyFont="1" applyFill="1" applyBorder="1" applyAlignment="1">
      <alignment horizontal="center"/>
    </xf>
    <xf numFmtId="2" fontId="2" fillId="12" borderId="23" xfId="0" applyNumberFormat="1" applyFont="1" applyFill="1" applyBorder="1" applyAlignment="1">
      <alignment horizontal="center"/>
    </xf>
    <xf numFmtId="2" fontId="2" fillId="12" borderId="24" xfId="0" applyNumberFormat="1" applyFont="1" applyFill="1" applyBorder="1" applyAlignment="1">
      <alignment horizontal="center"/>
    </xf>
    <xf numFmtId="0" fontId="0" fillId="0" borderId="2" xfId="0" applyFont="1" applyBorder="1" applyAlignment="1">
      <alignment horizontal="center"/>
    </xf>
    <xf numFmtId="0" fontId="0" fillId="0" borderId="28" xfId="0" applyFont="1" applyBorder="1" applyAlignment="1">
      <alignment horizontal="center"/>
    </xf>
    <xf numFmtId="0" fontId="0" fillId="6" borderId="1" xfId="0" applyFill="1" applyBorder="1" applyAlignment="1" applyProtection="1">
      <alignment horizontal="center"/>
      <protection locked="0"/>
    </xf>
    <xf numFmtId="0" fontId="1" fillId="0" borderId="2" xfId="0" applyFont="1" applyBorder="1" applyAlignment="1">
      <alignment horizontal="center"/>
    </xf>
    <xf numFmtId="0" fontId="1" fillId="0" borderId="9" xfId="0" applyFont="1" applyBorder="1" applyAlignment="1">
      <alignment horizontal="center"/>
    </xf>
    <xf numFmtId="0" fontId="1" fillId="0" borderId="5" xfId="0" applyFont="1" applyBorder="1" applyAlignment="1">
      <alignment horizontal="center"/>
    </xf>
    <xf numFmtId="0" fontId="0" fillId="0" borderId="1" xfId="0" applyBorder="1" applyAlignment="1">
      <alignment horizontal="left" wrapText="1"/>
    </xf>
    <xf numFmtId="0" fontId="0" fillId="0" borderId="1" xfId="0" applyBorder="1" applyAlignment="1">
      <alignment horizontal="left"/>
    </xf>
    <xf numFmtId="0" fontId="0" fillId="9" borderId="1" xfId="0" applyFill="1" applyBorder="1" applyAlignment="1" applyProtection="1">
      <alignment horizontal="left"/>
      <protection locked="0"/>
    </xf>
    <xf numFmtId="0" fontId="0" fillId="0" borderId="4" xfId="0" applyBorder="1" applyAlignment="1">
      <alignment horizontal="left" wrapText="1"/>
    </xf>
    <xf numFmtId="0" fontId="0" fillId="0" borderId="11" xfId="0" applyBorder="1" applyAlignment="1">
      <alignment horizontal="left" wrapText="1"/>
    </xf>
    <xf numFmtId="0" fontId="0" fillId="0" borderId="12" xfId="0" applyBorder="1" applyAlignment="1">
      <alignment horizontal="left" wrapText="1"/>
    </xf>
    <xf numFmtId="0" fontId="0" fillId="0" borderId="6" xfId="0" applyBorder="1" applyAlignment="1">
      <alignment horizontal="left" wrapText="1"/>
    </xf>
    <xf numFmtId="0" fontId="0" fillId="0" borderId="0" xfId="0" applyBorder="1" applyAlignment="1">
      <alignment horizontal="left" wrapText="1"/>
    </xf>
    <xf numFmtId="0" fontId="0" fillId="0" borderId="10" xfId="0" applyBorder="1" applyAlignment="1">
      <alignment horizontal="left" wrapText="1"/>
    </xf>
    <xf numFmtId="0" fontId="0" fillId="0" borderId="7" xfId="0" applyBorder="1" applyAlignment="1">
      <alignment horizontal="left" wrapText="1"/>
    </xf>
    <xf numFmtId="0" fontId="0" fillId="0" borderId="8" xfId="0" applyBorder="1" applyAlignment="1">
      <alignment horizontal="left" wrapText="1"/>
    </xf>
    <xf numFmtId="0" fontId="0" fillId="0" borderId="13" xfId="0" applyBorder="1" applyAlignment="1">
      <alignment horizontal="left" wrapText="1"/>
    </xf>
    <xf numFmtId="0" fontId="0" fillId="13" borderId="1" xfId="0" applyFill="1" applyBorder="1" applyAlignment="1">
      <alignment horizontal="center"/>
    </xf>
    <xf numFmtId="0" fontId="0" fillId="0" borderId="10" xfId="0" applyBorder="1" applyAlignment="1">
      <alignment horizontal="center" vertical="center"/>
    </xf>
    <xf numFmtId="0" fontId="0" fillId="0" borderId="10" xfId="0" applyFill="1" applyBorder="1" applyAlignment="1">
      <alignment horizontal="center" vertical="center"/>
    </xf>
    <xf numFmtId="0" fontId="2" fillId="12" borderId="1" xfId="0" applyFont="1" applyFill="1" applyBorder="1" applyAlignment="1">
      <alignment horizontal="center"/>
    </xf>
    <xf numFmtId="0" fontId="0" fillId="0" borderId="1" xfId="0" applyBorder="1" applyAlignment="1">
      <alignment horizontal="center" vertical="center"/>
    </xf>
    <xf numFmtId="0" fontId="0" fillId="0" borderId="4" xfId="0" applyBorder="1" applyAlignment="1">
      <alignment horizontal="left"/>
    </xf>
    <xf numFmtId="0" fontId="0" fillId="0" borderId="11" xfId="0" applyBorder="1" applyAlignment="1">
      <alignment horizontal="left"/>
    </xf>
    <xf numFmtId="0" fontId="0" fillId="0" borderId="12" xfId="0" applyBorder="1" applyAlignment="1">
      <alignment horizontal="left"/>
    </xf>
    <xf numFmtId="0" fontId="0" fillId="0" borderId="6" xfId="0" applyBorder="1" applyAlignment="1">
      <alignment horizontal="left"/>
    </xf>
    <xf numFmtId="0" fontId="0" fillId="0" borderId="0" xfId="0" applyBorder="1" applyAlignment="1">
      <alignment horizontal="left"/>
    </xf>
    <xf numFmtId="0" fontId="0" fillId="0" borderId="10" xfId="0" applyBorder="1" applyAlignment="1">
      <alignment horizontal="left"/>
    </xf>
    <xf numFmtId="0" fontId="0" fillId="0" borderId="7" xfId="0" applyBorder="1" applyAlignment="1">
      <alignment horizontal="left"/>
    </xf>
    <xf numFmtId="0" fontId="0" fillId="0" borderId="8" xfId="0" applyBorder="1" applyAlignment="1">
      <alignment horizontal="left"/>
    </xf>
    <xf numFmtId="0" fontId="0" fillId="0" borderId="13" xfId="0" applyBorder="1" applyAlignment="1">
      <alignment horizontal="left"/>
    </xf>
    <xf numFmtId="0" fontId="0" fillId="0" borderId="3" xfId="0" applyBorder="1" applyAlignment="1">
      <alignment horizontal="center" vertical="center"/>
    </xf>
    <xf numFmtId="0" fontId="0" fillId="0" borderId="3" xfId="0" applyBorder="1" applyAlignment="1">
      <alignment horizontal="left"/>
    </xf>
    <xf numFmtId="0" fontId="0" fillId="0" borderId="7" xfId="0" applyFont="1" applyBorder="1" applyAlignment="1">
      <alignment horizontal="left"/>
    </xf>
    <xf numFmtId="0" fontId="0" fillId="0" borderId="8" xfId="0" applyFont="1" applyBorder="1" applyAlignment="1">
      <alignment horizontal="left"/>
    </xf>
    <xf numFmtId="0" fontId="0" fillId="12" borderId="1" xfId="0" applyFill="1" applyBorder="1" applyAlignment="1">
      <alignment horizontal="center"/>
    </xf>
    <xf numFmtId="0" fontId="0" fillId="12" borderId="1" xfId="0" applyFont="1" applyFill="1" applyBorder="1" applyAlignment="1">
      <alignment horizontal="center"/>
    </xf>
    <xf numFmtId="0" fontId="0" fillId="0" borderId="4" xfId="0" applyFont="1" applyBorder="1" applyAlignment="1">
      <alignment horizontal="left"/>
    </xf>
    <xf numFmtId="0" fontId="0" fillId="0" borderId="11" xfId="0" applyFont="1" applyBorder="1" applyAlignment="1">
      <alignment horizontal="left"/>
    </xf>
  </cellXfs>
  <cellStyles count="2">
    <cellStyle name="Comma" xfId="1" builtinId="3"/>
    <cellStyle name="Normal" xfId="0" builtinId="0"/>
  </cellStyles>
  <dxfs count="2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0000"/>
        </patternFill>
      </fill>
    </dxf>
    <dxf>
      <font>
        <color rgb="FF9C0006"/>
      </font>
      <fill>
        <patternFill>
          <bgColor rgb="FFFFC7CE"/>
        </patternFill>
      </fill>
    </dxf>
    <dxf>
      <font>
        <b/>
        <i val="0"/>
        <strike val="0"/>
        <condense val="0"/>
        <extend val="0"/>
        <outline val="0"/>
        <shadow val="0"/>
        <u val="none"/>
        <vertAlign val="baseline"/>
        <sz val="11"/>
        <color theme="1"/>
        <name val="Calibri"/>
        <family val="2"/>
        <scheme val="minor"/>
      </font>
    </dxf>
    <dxf>
      <font>
        <color rgb="FFC00000"/>
      </font>
      <fill>
        <patternFill>
          <bgColor rgb="FFFFCCCC"/>
        </patternFill>
      </fill>
    </dxf>
    <dxf>
      <font>
        <color rgb="FF006100"/>
      </font>
      <fill>
        <patternFill>
          <bgColor rgb="FFC6EFCE"/>
        </patternFill>
      </fill>
    </dxf>
    <dxf>
      <font>
        <strike val="0"/>
        <color rgb="FF006100"/>
      </font>
      <fill>
        <patternFill>
          <bgColor rgb="FFC6EFCE"/>
        </patternFill>
      </fill>
    </dxf>
    <dxf>
      <font>
        <strike val="0"/>
        <color rgb="FF9C0006"/>
      </font>
      <fill>
        <patternFill>
          <bgColor rgb="FFFFC7CE"/>
        </patternFill>
      </fill>
    </dxf>
    <dxf>
      <fill>
        <patternFill>
          <bgColor rgb="FFFF0000"/>
        </patternFill>
      </fill>
    </dxf>
    <dxf>
      <fill>
        <patternFill>
          <bgColor rgb="FF92D050"/>
        </patternFill>
      </fill>
    </dxf>
    <dxf>
      <font>
        <strike val="0"/>
        <color rgb="FFC00000"/>
      </font>
      <fill>
        <patternFill>
          <bgColor rgb="FFFFCCCC"/>
        </patternFill>
      </fill>
    </dxf>
    <dxf>
      <font>
        <color rgb="FF006100"/>
      </font>
      <fill>
        <patternFill>
          <bgColor rgb="FFC6EFCE"/>
        </patternFill>
      </fill>
    </dxf>
    <dxf>
      <font>
        <color rgb="FF006100"/>
      </font>
      <fill>
        <patternFill>
          <bgColor rgb="FFC6EFCE"/>
        </patternFill>
      </fill>
    </dxf>
    <dxf>
      <font>
        <strike val="0"/>
        <color rgb="FF9C0006"/>
      </font>
      <fill>
        <patternFill>
          <bgColor rgb="FFFFC7CE"/>
        </patternFill>
      </fill>
    </dxf>
  </dxfs>
  <tableStyles count="0" defaultTableStyle="TableStyleMedium2" defaultPivotStyle="PivotStyleLight16"/>
  <colors>
    <mruColors>
      <color rgb="FFFFCCCC"/>
      <color rgb="FFFF9999"/>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4</xdr:col>
      <xdr:colOff>19050</xdr:colOff>
      <xdr:row>7</xdr:row>
      <xdr:rowOff>157686</xdr:rowOff>
    </xdr:from>
    <xdr:to>
      <xdr:col>8</xdr:col>
      <xdr:colOff>1296947</xdr:colOff>
      <xdr:row>20</xdr:row>
      <xdr:rowOff>0</xdr:rowOff>
    </xdr:to>
    <xdr:pic>
      <xdr:nvPicPr>
        <xdr:cNvPr id="3" name="Picture 2">
          <a:extLst>
            <a:ext uri="{FF2B5EF4-FFF2-40B4-BE49-F238E27FC236}">
              <a16:creationId xmlns:a16="http://schemas.microsoft.com/office/drawing/2014/main" id="{0290C06B-6004-40DB-955A-44A5CF6812A6}"/>
            </a:ext>
          </a:extLst>
        </xdr:cNvPr>
        <xdr:cNvPicPr>
          <a:picLocks noChangeAspect="1"/>
        </xdr:cNvPicPr>
      </xdr:nvPicPr>
      <xdr:blipFill>
        <a:blip xmlns:r="http://schemas.openxmlformats.org/officeDocument/2006/relationships" r:embed="rId1"/>
        <a:stretch>
          <a:fillRect/>
        </a:stretch>
      </xdr:blipFill>
      <xdr:spPr>
        <a:xfrm>
          <a:off x="13525500" y="1681686"/>
          <a:ext cx="4611647" cy="231881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447674</xdr:colOff>
      <xdr:row>12</xdr:row>
      <xdr:rowOff>43784</xdr:rowOff>
    </xdr:from>
    <xdr:to>
      <xdr:col>10</xdr:col>
      <xdr:colOff>192981</xdr:colOff>
      <xdr:row>21</xdr:row>
      <xdr:rowOff>0</xdr:rowOff>
    </xdr:to>
    <xdr:pic>
      <xdr:nvPicPr>
        <xdr:cNvPr id="4" name="Picture 3">
          <a:extLst>
            <a:ext uri="{FF2B5EF4-FFF2-40B4-BE49-F238E27FC236}">
              <a16:creationId xmlns:a16="http://schemas.microsoft.com/office/drawing/2014/main" id="{DFD17D58-685A-4154-B71C-C598069871B3}"/>
            </a:ext>
          </a:extLst>
        </xdr:cNvPr>
        <xdr:cNvPicPr>
          <a:picLocks noChangeAspect="1"/>
        </xdr:cNvPicPr>
      </xdr:nvPicPr>
      <xdr:blipFill>
        <a:blip xmlns:r="http://schemas.openxmlformats.org/officeDocument/2006/relationships" r:embed="rId1"/>
        <a:stretch>
          <a:fillRect/>
        </a:stretch>
      </xdr:blipFill>
      <xdr:spPr>
        <a:xfrm>
          <a:off x="16182974" y="2901284"/>
          <a:ext cx="4869757" cy="1861216"/>
        </a:xfrm>
        <a:prstGeom prst="rect">
          <a:avLst/>
        </a:prstGeom>
      </xdr:spPr>
    </xdr:pic>
    <xdr:clientData/>
  </xdr:twoCellAnchor>
  <xdr:twoCellAnchor editAs="oneCell">
    <xdr:from>
      <xdr:col>5</xdr:col>
      <xdr:colOff>19049</xdr:colOff>
      <xdr:row>22</xdr:row>
      <xdr:rowOff>189411</xdr:rowOff>
    </xdr:from>
    <xdr:to>
      <xdr:col>10</xdr:col>
      <xdr:colOff>257175</xdr:colOff>
      <xdr:row>29</xdr:row>
      <xdr:rowOff>52146</xdr:rowOff>
    </xdr:to>
    <xdr:pic>
      <xdr:nvPicPr>
        <xdr:cNvPr id="5" name="Picture 4">
          <a:extLst>
            <a:ext uri="{FF2B5EF4-FFF2-40B4-BE49-F238E27FC236}">
              <a16:creationId xmlns:a16="http://schemas.microsoft.com/office/drawing/2014/main" id="{0FA35A04-7795-4CC3-BDBE-17A63D6ADA40}"/>
            </a:ext>
          </a:extLst>
        </xdr:cNvPr>
        <xdr:cNvPicPr>
          <a:picLocks noChangeAspect="1"/>
        </xdr:cNvPicPr>
      </xdr:nvPicPr>
      <xdr:blipFill>
        <a:blip xmlns:r="http://schemas.openxmlformats.org/officeDocument/2006/relationships" r:embed="rId2"/>
        <a:stretch>
          <a:fillRect/>
        </a:stretch>
      </xdr:blipFill>
      <xdr:spPr>
        <a:xfrm>
          <a:off x="16221074" y="5142411"/>
          <a:ext cx="4895851" cy="119623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17</xdr:col>
      <xdr:colOff>295275</xdr:colOff>
      <xdr:row>1</xdr:row>
      <xdr:rowOff>117949</xdr:rowOff>
    </xdr:from>
    <xdr:to>
      <xdr:col>23</xdr:col>
      <xdr:colOff>380083</xdr:colOff>
      <xdr:row>19</xdr:row>
      <xdr:rowOff>18234</xdr:rowOff>
    </xdr:to>
    <xdr:pic>
      <xdr:nvPicPr>
        <xdr:cNvPr id="3" name="Picture 2">
          <a:extLst>
            <a:ext uri="{FF2B5EF4-FFF2-40B4-BE49-F238E27FC236}">
              <a16:creationId xmlns:a16="http://schemas.microsoft.com/office/drawing/2014/main" id="{0A87B198-1594-4BDB-B83E-CA8757CAD470}"/>
            </a:ext>
          </a:extLst>
        </xdr:cNvPr>
        <xdr:cNvPicPr>
          <a:picLocks noChangeAspect="1"/>
        </xdr:cNvPicPr>
      </xdr:nvPicPr>
      <xdr:blipFill>
        <a:blip xmlns:r="http://schemas.openxmlformats.org/officeDocument/2006/relationships" r:embed="rId1"/>
        <a:stretch>
          <a:fillRect/>
        </a:stretch>
      </xdr:blipFill>
      <xdr:spPr>
        <a:xfrm>
          <a:off x="13525500" y="308449"/>
          <a:ext cx="3742408" cy="3329285"/>
        </a:xfrm>
        <a:prstGeom prst="rect">
          <a:avLst/>
        </a:prstGeom>
      </xdr:spPr>
    </xdr:pic>
    <xdr:clientData/>
  </xdr:twoCellAnchor>
  <xdr:twoCellAnchor editAs="oneCell">
    <xdr:from>
      <xdr:col>17</xdr:col>
      <xdr:colOff>323850</xdr:colOff>
      <xdr:row>22</xdr:row>
      <xdr:rowOff>186261</xdr:rowOff>
    </xdr:from>
    <xdr:to>
      <xdr:col>23</xdr:col>
      <xdr:colOff>65519</xdr:colOff>
      <xdr:row>31</xdr:row>
      <xdr:rowOff>180971</xdr:rowOff>
    </xdr:to>
    <xdr:pic>
      <xdr:nvPicPr>
        <xdr:cNvPr id="2" name="Picture 1">
          <a:extLst>
            <a:ext uri="{FF2B5EF4-FFF2-40B4-BE49-F238E27FC236}">
              <a16:creationId xmlns:a16="http://schemas.microsoft.com/office/drawing/2014/main" id="{C12E7839-EC69-4B01-A45F-97FC10F54F64}"/>
            </a:ext>
          </a:extLst>
        </xdr:cNvPr>
        <xdr:cNvPicPr>
          <a:picLocks noChangeAspect="1"/>
        </xdr:cNvPicPr>
      </xdr:nvPicPr>
      <xdr:blipFill>
        <a:blip xmlns:r="http://schemas.openxmlformats.org/officeDocument/2006/relationships" r:embed="rId2"/>
        <a:stretch>
          <a:fillRect/>
        </a:stretch>
      </xdr:blipFill>
      <xdr:spPr>
        <a:xfrm>
          <a:off x="20793075" y="4377261"/>
          <a:ext cx="3399269" cy="1709210"/>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47AE9DFF-0A49-462A-8C68-DC08D392FE66}" name="Table1" displayName="Table1" ref="A1:A5" totalsRowShown="0" headerRowDxfId="11">
  <autoFilter ref="A1:A5" xr:uid="{47AE9DFF-0A49-462A-8C68-DC08D392FE66}"/>
  <tableColumns count="1">
    <tableColumn id="1" xr3:uid="{C3E30961-3A36-405A-ADA4-3D9ED9DCD006}" name="Feed Line Type"/>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drawing" Target="../drawings/drawing3.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2FF32C-7BE8-43DF-B697-69B67361A888}">
  <dimension ref="A1:I53"/>
  <sheetViews>
    <sheetView tabSelected="1" workbookViewId="0">
      <selection activeCell="B3" sqref="B3"/>
    </sheetView>
  </sheetViews>
  <sheetFormatPr defaultRowHeight="15" x14ac:dyDescent="0.25"/>
  <cols>
    <col min="1" max="1" width="73.28515625" bestFit="1" customWidth="1"/>
    <col min="2" max="2" width="62.42578125" customWidth="1"/>
    <col min="3" max="3" width="42.42578125" bestFit="1" customWidth="1"/>
    <col min="4" max="4" width="10" customWidth="1"/>
    <col min="5" max="5" width="7.85546875" customWidth="1"/>
    <col min="6" max="6" width="23.85546875" bestFit="1" customWidth="1"/>
    <col min="9" max="9" width="22.28515625" bestFit="1" customWidth="1"/>
    <col min="10" max="10" width="23.85546875" bestFit="1" customWidth="1"/>
    <col min="14" max="14" width="40.140625" customWidth="1"/>
    <col min="15" max="15" width="22.28515625" bestFit="1" customWidth="1"/>
    <col min="18" max="18" width="13.85546875" bestFit="1" customWidth="1"/>
  </cols>
  <sheetData>
    <row r="1" spans="1:9" x14ac:dyDescent="0.25">
      <c r="A1" s="11" t="s">
        <v>1</v>
      </c>
      <c r="B1" s="2" t="s">
        <v>5</v>
      </c>
      <c r="C1" s="11" t="s">
        <v>5</v>
      </c>
      <c r="H1" s="11" t="s">
        <v>40</v>
      </c>
      <c r="I1" s="11" t="s">
        <v>46</v>
      </c>
    </row>
    <row r="2" spans="1:9" x14ac:dyDescent="0.25">
      <c r="A2" s="172" t="s">
        <v>143</v>
      </c>
      <c r="B2" s="173"/>
      <c r="C2" s="174"/>
      <c r="H2" s="12" t="s">
        <v>41</v>
      </c>
      <c r="I2" s="1" t="s">
        <v>49</v>
      </c>
    </row>
    <row r="3" spans="1:9" x14ac:dyDescent="0.25">
      <c r="A3" s="1" t="s">
        <v>0</v>
      </c>
      <c r="B3" s="31" t="s">
        <v>256</v>
      </c>
      <c r="H3" s="13" t="s">
        <v>42</v>
      </c>
      <c r="I3" s="1" t="s">
        <v>48</v>
      </c>
    </row>
    <row r="4" spans="1:9" x14ac:dyDescent="0.25">
      <c r="A4" s="1" t="s">
        <v>205</v>
      </c>
      <c r="B4" s="33" t="s">
        <v>27</v>
      </c>
      <c r="H4" s="14" t="s">
        <v>43</v>
      </c>
      <c r="I4" s="1" t="s">
        <v>47</v>
      </c>
    </row>
    <row r="5" spans="1:9" x14ac:dyDescent="0.25">
      <c r="A5" s="1" t="s">
        <v>6</v>
      </c>
      <c r="B5" s="31">
        <v>1</v>
      </c>
      <c r="H5" s="15" t="s">
        <v>44</v>
      </c>
      <c r="I5" s="1" t="s">
        <v>45</v>
      </c>
    </row>
    <row r="6" spans="1:9" x14ac:dyDescent="0.25">
      <c r="A6" s="1" t="s">
        <v>77</v>
      </c>
      <c r="B6" s="31" t="s">
        <v>78</v>
      </c>
    </row>
    <row r="7" spans="1:9" ht="30" x14ac:dyDescent="0.25">
      <c r="A7" s="1" t="s">
        <v>7</v>
      </c>
      <c r="B7" s="105" t="s">
        <v>193</v>
      </c>
    </row>
    <row r="8" spans="1:9" x14ac:dyDescent="0.25">
      <c r="A8" s="1" t="s">
        <v>8</v>
      </c>
      <c r="B8" s="31" t="s">
        <v>10</v>
      </c>
    </row>
    <row r="9" spans="1:9" x14ac:dyDescent="0.25">
      <c r="A9" s="1" t="s">
        <v>9</v>
      </c>
      <c r="B9" s="37">
        <f ca="1">TODAY()</f>
        <v>44583</v>
      </c>
    </row>
    <row r="10" spans="1:9" x14ac:dyDescent="0.25">
      <c r="A10" s="1" t="s">
        <v>2</v>
      </c>
      <c r="B10" s="31" t="s">
        <v>11</v>
      </c>
    </row>
    <row r="11" spans="1:9" x14ac:dyDescent="0.25">
      <c r="A11" s="1" t="s">
        <v>3</v>
      </c>
      <c r="B11" s="31" t="s">
        <v>12</v>
      </c>
    </row>
    <row r="12" spans="1:9" x14ac:dyDescent="0.25">
      <c r="A12" s="1" t="s">
        <v>165</v>
      </c>
      <c r="B12" s="32">
        <v>100</v>
      </c>
    </row>
    <row r="13" spans="1:9" x14ac:dyDescent="0.25">
      <c r="A13" s="1" t="s">
        <v>166</v>
      </c>
      <c r="B13" s="77">
        <f>10*LOG10(B12)</f>
        <v>20</v>
      </c>
    </row>
    <row r="14" spans="1:9" x14ac:dyDescent="0.25">
      <c r="A14" s="172" t="s">
        <v>144</v>
      </c>
      <c r="B14" s="173"/>
      <c r="C14" s="174"/>
    </row>
    <row r="15" spans="1:9" x14ac:dyDescent="0.25">
      <c r="A15" s="1" t="s">
        <v>177</v>
      </c>
      <c r="B15" s="33" t="s">
        <v>14</v>
      </c>
    </row>
    <row r="16" spans="1:9" x14ac:dyDescent="0.25">
      <c r="A16" s="1" t="s">
        <v>167</v>
      </c>
      <c r="B16" s="32">
        <v>0.9</v>
      </c>
    </row>
    <row r="17" spans="1:6" x14ac:dyDescent="0.25">
      <c r="A17" s="1" t="s">
        <v>168</v>
      </c>
      <c r="B17" s="32">
        <v>50</v>
      </c>
    </row>
    <row r="18" spans="1:6" x14ac:dyDescent="0.25">
      <c r="A18" s="1" t="s">
        <v>169</v>
      </c>
      <c r="B18" s="77">
        <f>(B16/100)*B17</f>
        <v>0.45000000000000007</v>
      </c>
    </row>
    <row r="19" spans="1:6" x14ac:dyDescent="0.25">
      <c r="A19" s="1" t="s">
        <v>13</v>
      </c>
      <c r="B19" s="31" t="s">
        <v>274</v>
      </c>
    </row>
    <row r="20" spans="1:6" x14ac:dyDescent="0.25">
      <c r="A20" s="1" t="s">
        <v>170</v>
      </c>
      <c r="B20" s="32">
        <v>0.5</v>
      </c>
    </row>
    <row r="21" spans="1:6" x14ac:dyDescent="0.25">
      <c r="A21" s="172" t="s">
        <v>145</v>
      </c>
      <c r="B21" s="173"/>
      <c r="C21" s="174"/>
    </row>
    <row r="22" spans="1:6" x14ac:dyDescent="0.25">
      <c r="A22" s="1" t="s">
        <v>171</v>
      </c>
      <c r="B22" s="77">
        <f>B13-B18-B20</f>
        <v>19.05</v>
      </c>
      <c r="F22" t="s">
        <v>140</v>
      </c>
    </row>
    <row r="23" spans="1:6" x14ac:dyDescent="0.25">
      <c r="A23" s="67" t="s">
        <v>172</v>
      </c>
      <c r="B23" s="150">
        <f>10^(B22/10)</f>
        <v>80.35261221856176</v>
      </c>
    </row>
    <row r="24" spans="1:6" x14ac:dyDescent="0.25">
      <c r="A24" s="171" t="s">
        <v>146</v>
      </c>
      <c r="B24" s="171"/>
      <c r="C24" s="171"/>
    </row>
    <row r="25" spans="1:6" x14ac:dyDescent="0.25">
      <c r="A25" s="60"/>
      <c r="B25" s="61" t="s">
        <v>154</v>
      </c>
      <c r="C25" s="30" t="s">
        <v>155</v>
      </c>
    </row>
    <row r="26" spans="1:6" x14ac:dyDescent="0.25">
      <c r="A26" s="73" t="s">
        <v>196</v>
      </c>
      <c r="B26" s="32">
        <v>3</v>
      </c>
      <c r="C26" s="76">
        <f>B26*3.28084</f>
        <v>9.8425200000000004</v>
      </c>
    </row>
    <row r="27" spans="1:6" ht="15.75" thickBot="1" x14ac:dyDescent="0.3">
      <c r="A27" s="74" t="s">
        <v>197</v>
      </c>
      <c r="B27" s="32">
        <v>2.5</v>
      </c>
      <c r="C27" s="76">
        <f>B27*3.28084</f>
        <v>8.2020999999999997</v>
      </c>
    </row>
    <row r="28" spans="1:6" x14ac:dyDescent="0.25">
      <c r="A28" s="175" t="s">
        <v>147</v>
      </c>
      <c r="B28" s="175"/>
      <c r="C28" s="175"/>
    </row>
    <row r="29" spans="1:6" x14ac:dyDescent="0.25">
      <c r="A29" s="56"/>
      <c r="B29" s="30" t="s">
        <v>154</v>
      </c>
      <c r="C29" s="62" t="s">
        <v>155</v>
      </c>
    </row>
    <row r="30" spans="1:6" x14ac:dyDescent="0.25">
      <c r="A30" s="1" t="s">
        <v>139</v>
      </c>
      <c r="B30" s="75">
        <f>_xlfn.XLOOKUP(B4,'Dropdown List'!C2:C20,'Dropdown List'!I2:I20)</f>
        <v>6.8209261325097996</v>
      </c>
      <c r="C30" s="75">
        <f>_xlfn.XLOOKUP(B4,'Dropdown List'!C2:C20,'Dropdown List'!J2:J20)</f>
        <v>22.378367292583452</v>
      </c>
    </row>
    <row r="31" spans="1:6" x14ac:dyDescent="0.25">
      <c r="A31" s="171" t="s">
        <v>148</v>
      </c>
      <c r="B31" s="171"/>
      <c r="C31" s="171"/>
    </row>
    <row r="32" spans="1:6" x14ac:dyDescent="0.25">
      <c r="A32" s="1" t="s">
        <v>276</v>
      </c>
      <c r="B32" s="84" t="str">
        <f>IF(DistanceUncontrolledMeters&gt;B30, "YES","NO")</f>
        <v>NO</v>
      </c>
      <c r="C32" s="53" t="s">
        <v>164</v>
      </c>
    </row>
    <row r="33" spans="1:6" x14ac:dyDescent="0.25">
      <c r="A33" s="1" t="s">
        <v>277</v>
      </c>
      <c r="B33" s="88" t="str">
        <f>IF(DistanceControlledMeters&gt;B30, "YES","NO")</f>
        <v>NO</v>
      </c>
      <c r="C33" s="1" t="s">
        <v>164</v>
      </c>
    </row>
    <row r="34" spans="1:6" x14ac:dyDescent="0.25">
      <c r="E34" s="35" t="str">
        <f>IF(B32="YES","FAR","NEAR")</f>
        <v>NEAR</v>
      </c>
      <c r="F34" t="s">
        <v>152</v>
      </c>
    </row>
    <row r="35" spans="1:6" x14ac:dyDescent="0.25">
      <c r="E35" s="35" t="str">
        <f>IF(B33="YES","FAR","NEAR")</f>
        <v>NEAR</v>
      </c>
      <c r="F35" t="s">
        <v>153</v>
      </c>
    </row>
    <row r="36" spans="1:6" x14ac:dyDescent="0.25">
      <c r="B36" s="57"/>
    </row>
    <row r="37" spans="1:6" x14ac:dyDescent="0.25">
      <c r="A37" s="171" t="s">
        <v>151</v>
      </c>
      <c r="B37" s="171"/>
      <c r="C37" s="171"/>
    </row>
    <row r="38" spans="1:6" x14ac:dyDescent="0.25">
      <c r="A38" s="169" t="s">
        <v>149</v>
      </c>
      <c r="B38" s="170"/>
      <c r="C38" s="59" t="str">
        <f>IF(FarFieldTestUncontrolled="FAR", "X", " ")</f>
        <v xml:space="preserve"> </v>
      </c>
    </row>
    <row r="39" spans="1:6" x14ac:dyDescent="0.25">
      <c r="A39" s="169" t="s">
        <v>150</v>
      </c>
      <c r="B39" s="170"/>
      <c r="C39" s="59" t="str">
        <f>IF(FarFieldTestControlled="FAR", "X", " ")</f>
        <v xml:space="preserve"> </v>
      </c>
    </row>
    <row r="40" spans="1:6" x14ac:dyDescent="0.25">
      <c r="B40" s="52"/>
    </row>
    <row r="41" spans="1:6" x14ac:dyDescent="0.25">
      <c r="C41" s="52"/>
    </row>
    <row r="48" spans="1:6" ht="15" customHeight="1" x14ac:dyDescent="0.25"/>
    <row r="49" spans="3:4" ht="15" customHeight="1" x14ac:dyDescent="0.25"/>
    <row r="50" spans="3:4" ht="41.25" customHeight="1" x14ac:dyDescent="0.25">
      <c r="D50" s="51"/>
    </row>
    <row r="51" spans="3:4" ht="41.25" customHeight="1" x14ac:dyDescent="0.25">
      <c r="D51" s="51"/>
    </row>
    <row r="53" spans="3:4" x14ac:dyDescent="0.25">
      <c r="C53" s="3"/>
    </row>
  </sheetData>
  <sheetProtection algorithmName="SHA-512" hashValue="RA/CAqYpEKLSyRjyiBuaHfFQ4eNAwe/LmwTII1G0JC5a+32vwiWudFN41rbJE5f9bh9RWMnl4ZZV6A2tOkGXtQ==" saltValue="97G8Hr79GQw+Ph4qhp9o6A==" spinCount="100000" sheet="1" selectLockedCells="1"/>
  <mergeCells count="9">
    <mergeCell ref="A38:B38"/>
    <mergeCell ref="A39:B39"/>
    <mergeCell ref="A37:C37"/>
    <mergeCell ref="A2:C2"/>
    <mergeCell ref="A14:C14"/>
    <mergeCell ref="A21:C21"/>
    <mergeCell ref="A31:C31"/>
    <mergeCell ref="A28:C28"/>
    <mergeCell ref="A24:C24"/>
  </mergeCells>
  <conditionalFormatting sqref="B32">
    <cfRule type="containsText" dxfId="21" priority="18" operator="containsText" text="NO">
      <formula>NOT(ISERROR(SEARCH("NO",B32)))</formula>
    </cfRule>
    <cfRule type="containsText" dxfId="20" priority="20" operator="containsText" text="YES">
      <formula>NOT(ISERROR(SEARCH("YES",B32)))</formula>
    </cfRule>
  </conditionalFormatting>
  <conditionalFormatting sqref="B33">
    <cfRule type="containsText" dxfId="19" priority="19" operator="containsText" text="YES">
      <formula>NOT(ISERROR(SEARCH("YES",B33)))</formula>
    </cfRule>
    <cfRule type="containsText" dxfId="18" priority="22" operator="containsText" text="NO">
      <formula>NOT(ISERROR(SEARCH("NO",B33)))</formula>
    </cfRule>
  </conditionalFormatting>
  <conditionalFormatting sqref="I41">
    <cfRule type="containsText" dxfId="17" priority="10" operator="containsText" text="TRUE">
      <formula>NOT(ISERROR(SEARCH("TRUE",I41)))</formula>
    </cfRule>
    <cfRule type="containsText" dxfId="16" priority="11" operator="containsText" text="FALSE">
      <formula>NOT(ISERROR(SEARCH("FALSE",I41)))</formula>
    </cfRule>
  </conditionalFormatting>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89FDD71-243B-4E93-8DF5-08FFEE49E89E}">
          <x14:formula1>
            <xm:f>'Dropdown List'!$C$2:$C$20</xm:f>
          </x14:formula1>
          <xm:sqref>B4</xm:sqref>
        </x14:dataValidation>
        <x14:dataValidation type="list" errorStyle="warning" allowBlank="1" showInputMessage="1" showErrorMessage="1" errorTitle="Select" error="Text only" promptTitle="Feedline Type" prompt="Select" xr:uid="{B2024E97-C5FF-4F46-BF3C-756641CA90AC}">
          <x14:formula1>
            <xm:f>'Dropdown List'!$A$2:$A$5</xm:f>
          </x14:formula1>
          <xm:sqref>B15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76BF98-E564-4079-A033-FB2DC1B5DE8C}">
  <dimension ref="A1:H41"/>
  <sheetViews>
    <sheetView topLeftCell="A7" workbookViewId="0">
      <selection activeCell="F11" sqref="F11"/>
    </sheetView>
  </sheetViews>
  <sheetFormatPr defaultRowHeight="15" x14ac:dyDescent="0.25"/>
  <cols>
    <col min="1" max="1" width="60.7109375" customWidth="1"/>
    <col min="2" max="2" width="40.7109375" customWidth="1"/>
    <col min="3" max="3" width="20.7109375" customWidth="1"/>
    <col min="6" max="6" width="27.85546875" bestFit="1" customWidth="1"/>
  </cols>
  <sheetData>
    <row r="1" spans="1:3" ht="19.5" thickBot="1" x14ac:dyDescent="0.35">
      <c r="A1" s="189" t="s">
        <v>163</v>
      </c>
      <c r="B1" s="189"/>
      <c r="C1" s="189"/>
    </row>
    <row r="2" spans="1:3" x14ac:dyDescent="0.25">
      <c r="A2" s="180" t="s">
        <v>143</v>
      </c>
      <c r="B2" s="181"/>
      <c r="C2" s="182"/>
    </row>
    <row r="3" spans="1:3" x14ac:dyDescent="0.25">
      <c r="A3" s="68" t="s">
        <v>0</v>
      </c>
      <c r="B3" s="118" t="str">
        <f>Callsign</f>
        <v>WA4KFZ</v>
      </c>
      <c r="C3" s="153"/>
    </row>
    <row r="4" spans="1:3" x14ac:dyDescent="0.25">
      <c r="A4" s="68" t="s">
        <v>206</v>
      </c>
      <c r="B4" s="147" t="str">
        <f>WavelengthBand</f>
        <v>40m</v>
      </c>
      <c r="C4" s="119"/>
    </row>
    <row r="5" spans="1:3" x14ac:dyDescent="0.25">
      <c r="A5" s="68" t="s">
        <v>6</v>
      </c>
      <c r="B5" s="147">
        <f>SetupNumber</f>
        <v>1</v>
      </c>
      <c r="C5" s="119"/>
    </row>
    <row r="6" spans="1:3" x14ac:dyDescent="0.25">
      <c r="A6" s="68" t="s">
        <v>77</v>
      </c>
      <c r="B6" s="178" t="str">
        <f>SetupDescription</f>
        <v>Homebrew Vertical, HF</v>
      </c>
      <c r="C6" s="179"/>
    </row>
    <row r="7" spans="1:3" ht="40.5" customHeight="1" x14ac:dyDescent="0.25">
      <c r="A7" s="69" t="s">
        <v>7</v>
      </c>
      <c r="B7" s="178" t="str">
        <f>StationLocation</f>
        <v>14345 Brookmere Drive, 
Centreville, VA 20120</v>
      </c>
      <c r="C7" s="179"/>
    </row>
    <row r="8" spans="1:3" x14ac:dyDescent="0.25">
      <c r="A8" s="68" t="s">
        <v>8</v>
      </c>
      <c r="B8" s="178" t="str">
        <f>EvaluatedBy</f>
        <v>Mark Braunstein</v>
      </c>
      <c r="C8" s="179"/>
    </row>
    <row r="9" spans="1:3" x14ac:dyDescent="0.25">
      <c r="A9" s="68" t="s">
        <v>9</v>
      </c>
      <c r="B9" s="176">
        <f ca="1">DateField</f>
        <v>44583</v>
      </c>
      <c r="C9" s="177"/>
    </row>
    <row r="10" spans="1:3" x14ac:dyDescent="0.25">
      <c r="A10" s="68" t="s">
        <v>2</v>
      </c>
      <c r="B10" s="178" t="str">
        <f>TransmitterDescription</f>
        <v>Icom IC-706MKIIG</v>
      </c>
      <c r="C10" s="179"/>
    </row>
    <row r="11" spans="1:3" x14ac:dyDescent="0.25">
      <c r="A11" s="68" t="s">
        <v>3</v>
      </c>
      <c r="B11" s="178" t="str">
        <f>AmplifierDescription</f>
        <v>None</v>
      </c>
      <c r="C11" s="179"/>
    </row>
    <row r="12" spans="1:3" x14ac:dyDescent="0.25">
      <c r="A12" s="68" t="s">
        <v>165</v>
      </c>
      <c r="B12" s="151">
        <f>PEPOutputW</f>
        <v>100</v>
      </c>
      <c r="C12" s="85" t="s">
        <v>72</v>
      </c>
    </row>
    <row r="13" spans="1:3" ht="15.75" thickBot="1" x14ac:dyDescent="0.3">
      <c r="A13" s="71" t="s">
        <v>166</v>
      </c>
      <c r="B13" s="152">
        <f>PEPOutputdBW</f>
        <v>20</v>
      </c>
      <c r="C13" s="72" t="s">
        <v>73</v>
      </c>
    </row>
    <row r="14" spans="1:3" x14ac:dyDescent="0.25">
      <c r="A14" s="180" t="s">
        <v>144</v>
      </c>
      <c r="B14" s="181"/>
      <c r="C14" s="182"/>
    </row>
    <row r="15" spans="1:3" x14ac:dyDescent="0.25">
      <c r="A15" s="68" t="s">
        <v>4</v>
      </c>
      <c r="B15" s="148" t="str">
        <f>FeedLineType</f>
        <v>Coax</v>
      </c>
      <c r="C15" s="119"/>
    </row>
    <row r="16" spans="1:3" x14ac:dyDescent="0.25">
      <c r="A16" s="68" t="s">
        <v>167</v>
      </c>
      <c r="B16" s="151">
        <f>FeedLineLossSpec</f>
        <v>0.9</v>
      </c>
      <c r="C16" s="70" t="s">
        <v>74</v>
      </c>
    </row>
    <row r="17" spans="1:3" x14ac:dyDescent="0.25">
      <c r="A17" s="68" t="s">
        <v>168</v>
      </c>
      <c r="B17" s="151">
        <f>FeedLineLength</f>
        <v>50</v>
      </c>
      <c r="C17" s="70" t="s">
        <v>75</v>
      </c>
    </row>
    <row r="18" spans="1:3" x14ac:dyDescent="0.25">
      <c r="A18" s="68" t="s">
        <v>169</v>
      </c>
      <c r="B18" s="151">
        <f>FeedLineLoss</f>
        <v>0.45000000000000007</v>
      </c>
      <c r="C18" s="70" t="s">
        <v>76</v>
      </c>
    </row>
    <row r="19" spans="1:3" x14ac:dyDescent="0.25">
      <c r="A19" s="68" t="s">
        <v>13</v>
      </c>
      <c r="B19" s="178" t="str">
        <f>FeedLineComponents</f>
        <v>MFJ-993BRT tuner (estimated loss)</v>
      </c>
      <c r="C19" s="179"/>
    </row>
    <row r="20" spans="1:3" ht="15.75" thickBot="1" x14ac:dyDescent="0.3">
      <c r="A20" s="71" t="s">
        <v>170</v>
      </c>
      <c r="B20" s="152">
        <f>FeedLineComponentsLoss</f>
        <v>0.5</v>
      </c>
      <c r="C20" s="72" t="s">
        <v>76</v>
      </c>
    </row>
    <row r="21" spans="1:3" x14ac:dyDescent="0.25">
      <c r="A21" s="180" t="s">
        <v>145</v>
      </c>
      <c r="B21" s="181"/>
      <c r="C21" s="182"/>
    </row>
    <row r="22" spans="1:3" x14ac:dyDescent="0.25">
      <c r="A22" s="68" t="s">
        <v>171</v>
      </c>
      <c r="B22" s="151">
        <f>PEPAntennadBW</f>
        <v>19.05</v>
      </c>
      <c r="C22" s="70" t="s">
        <v>73</v>
      </c>
    </row>
    <row r="23" spans="1:3" ht="15.75" thickBot="1" x14ac:dyDescent="0.3">
      <c r="A23" s="71" t="s">
        <v>172</v>
      </c>
      <c r="B23" s="152">
        <f>PEPAntennaW</f>
        <v>80.35261221856176</v>
      </c>
      <c r="C23" s="72" t="s">
        <v>72</v>
      </c>
    </row>
    <row r="24" spans="1:3" x14ac:dyDescent="0.25">
      <c r="A24" s="183" t="s">
        <v>146</v>
      </c>
      <c r="B24" s="184"/>
      <c r="C24" s="185"/>
    </row>
    <row r="25" spans="1:3" x14ac:dyDescent="0.25">
      <c r="A25" s="120"/>
      <c r="B25" s="111" t="s">
        <v>154</v>
      </c>
      <c r="C25" s="112" t="s">
        <v>155</v>
      </c>
    </row>
    <row r="26" spans="1:3" x14ac:dyDescent="0.25">
      <c r="A26" s="73" t="s">
        <v>196</v>
      </c>
      <c r="B26" s="114">
        <f>DistanceUncontrolledMeters</f>
        <v>3</v>
      </c>
      <c r="C26" s="108">
        <f>DistanceUncontrolledFeet</f>
        <v>9.8425200000000004</v>
      </c>
    </row>
    <row r="27" spans="1:3" ht="15.75" thickBot="1" x14ac:dyDescent="0.3">
      <c r="A27" s="74" t="s">
        <v>197</v>
      </c>
      <c r="B27" s="110">
        <f>DistanceControlledMeters</f>
        <v>2.5</v>
      </c>
      <c r="C27" s="109">
        <f>DistanceControlledFeet</f>
        <v>8.2020999999999997</v>
      </c>
    </row>
    <row r="28" spans="1:3" x14ac:dyDescent="0.25">
      <c r="A28" s="183" t="s">
        <v>147</v>
      </c>
      <c r="B28" s="184"/>
      <c r="C28" s="185"/>
    </row>
    <row r="29" spans="1:3" x14ac:dyDescent="0.25">
      <c r="A29" s="120"/>
      <c r="B29" s="111" t="s">
        <v>154</v>
      </c>
      <c r="C29" s="112" t="s">
        <v>155</v>
      </c>
    </row>
    <row r="30" spans="1:3" ht="15.75" thickBot="1" x14ac:dyDescent="0.3">
      <c r="A30" s="71" t="s">
        <v>139</v>
      </c>
      <c r="B30" s="110">
        <f>NearFieldRadiusMeters</f>
        <v>6.8209261325097996</v>
      </c>
      <c r="C30" s="109">
        <f>NearFieldRadiusFeet</f>
        <v>22.378367292583452</v>
      </c>
    </row>
    <row r="31" spans="1:3" x14ac:dyDescent="0.25">
      <c r="A31" s="183" t="s">
        <v>148</v>
      </c>
      <c r="B31" s="184"/>
      <c r="C31" s="185"/>
    </row>
    <row r="32" spans="1:3" x14ac:dyDescent="0.25">
      <c r="A32" s="190" t="s">
        <v>194</v>
      </c>
      <c r="B32" s="192"/>
      <c r="C32" s="89" t="str">
        <f>UncontrolledFarFieldTest</f>
        <v>NO</v>
      </c>
    </row>
    <row r="33" spans="1:8" ht="15.75" thickBot="1" x14ac:dyDescent="0.3">
      <c r="A33" s="186" t="s">
        <v>195</v>
      </c>
      <c r="B33" s="187"/>
      <c r="C33" s="90" t="str">
        <f>ControlledFarFieldTest</f>
        <v>NO</v>
      </c>
    </row>
    <row r="34" spans="1:8" x14ac:dyDescent="0.25">
      <c r="A34" s="180" t="s">
        <v>151</v>
      </c>
      <c r="B34" s="181"/>
      <c r="C34" s="182"/>
      <c r="D34" s="65"/>
      <c r="E34" s="65"/>
      <c r="F34" s="65"/>
      <c r="G34" s="65"/>
      <c r="H34" s="65"/>
    </row>
    <row r="35" spans="1:8" x14ac:dyDescent="0.25">
      <c r="A35" s="190" t="s">
        <v>198</v>
      </c>
      <c r="B35" s="191"/>
      <c r="C35" s="121" t="str">
        <f>ComplianceUncontrolled</f>
        <v xml:space="preserve"> </v>
      </c>
      <c r="D35" s="66"/>
      <c r="E35" s="66"/>
      <c r="F35" s="66"/>
      <c r="G35" s="66"/>
      <c r="H35" s="66"/>
    </row>
    <row r="36" spans="1:8" ht="15.75" thickBot="1" x14ac:dyDescent="0.3">
      <c r="A36" s="186" t="s">
        <v>199</v>
      </c>
      <c r="B36" s="188"/>
      <c r="C36" s="122" t="str">
        <f>ComplianceControlled</f>
        <v xml:space="preserve"> </v>
      </c>
    </row>
    <row r="37" spans="1:8" x14ac:dyDescent="0.25">
      <c r="D37" s="65"/>
      <c r="E37" s="65"/>
      <c r="F37" s="65"/>
      <c r="G37" s="65"/>
    </row>
    <row r="38" spans="1:8" x14ac:dyDescent="0.25">
      <c r="D38" s="65"/>
      <c r="E38" s="65"/>
      <c r="F38" s="65"/>
      <c r="G38" s="65"/>
    </row>
    <row r="40" spans="1:8" x14ac:dyDescent="0.25">
      <c r="D40" s="64"/>
      <c r="E40" s="64"/>
      <c r="F40" s="64"/>
      <c r="G40" s="64"/>
    </row>
    <row r="41" spans="1:8" x14ac:dyDescent="0.25">
      <c r="D41" s="64"/>
      <c r="E41" s="64"/>
      <c r="F41" s="64"/>
      <c r="G41" s="64"/>
    </row>
  </sheetData>
  <sheetProtection algorithmName="SHA-512" hashValue="opomGIsZs9ZsL0PO4DoXRzLhiSC/DH47J0IPD9gMizQY5nXF+NvILulpYI4QaU2/DIaZDMjFTFmRCLi/jSuY0w==" saltValue="3WrMIq9Q8+MEhCjkYpv6JA==" spinCount="100000" sheet="1" selectLockedCells="1"/>
  <mergeCells count="19">
    <mergeCell ref="A33:B33"/>
    <mergeCell ref="A36:B36"/>
    <mergeCell ref="A1:C1"/>
    <mergeCell ref="A34:C34"/>
    <mergeCell ref="A35:B35"/>
    <mergeCell ref="B6:C6"/>
    <mergeCell ref="B19:C19"/>
    <mergeCell ref="A28:C28"/>
    <mergeCell ref="A31:C31"/>
    <mergeCell ref="A2:C2"/>
    <mergeCell ref="A14:C14"/>
    <mergeCell ref="A32:B32"/>
    <mergeCell ref="B7:C7"/>
    <mergeCell ref="B8:C8"/>
    <mergeCell ref="B9:C9"/>
    <mergeCell ref="B10:C10"/>
    <mergeCell ref="B11:C11"/>
    <mergeCell ref="A21:C21"/>
    <mergeCell ref="A24:C24"/>
  </mergeCells>
  <conditionalFormatting sqref="C32">
    <cfRule type="containsText" dxfId="15" priority="3" operator="containsText" text="NO">
      <formula>NOT(ISERROR(SEARCH("NO",C32)))</formula>
    </cfRule>
    <cfRule type="containsText" dxfId="14" priority="5" operator="containsText" text="YES">
      <formula>NOT(ISERROR(SEARCH("YES",C32)))</formula>
    </cfRule>
  </conditionalFormatting>
  <conditionalFormatting sqref="C33">
    <cfRule type="containsText" dxfId="13" priority="4" operator="containsText" text="YES">
      <formula>NOT(ISERROR(SEARCH("YES",C33)))</formula>
    </cfRule>
    <cfRule type="containsText" dxfId="12" priority="6" operator="containsText" text="NO">
      <formula>NOT(ISERROR(SEARCH("NO",C33)))</formula>
    </cfRule>
  </conditionalFormatting>
  <pageMargins left="0.7" right="0.7" top="0.75" bottom="0.75" header="0.3" footer="0.3"/>
  <pageSetup orientation="landscape" r:id="rId1"/>
  <headerFooter>
    <oddFooter>Page &amp;P of &amp;N</oddFooter>
  </headerFooter>
  <rowBreaks count="1" manualBreakCount="1">
    <brk id="30"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CADCD2-B923-442A-866D-3197D3C37D3C}">
  <dimension ref="A1:I40"/>
  <sheetViews>
    <sheetView zoomScaleNormal="100" workbookViewId="0">
      <selection activeCell="B12" sqref="B12"/>
    </sheetView>
  </sheetViews>
  <sheetFormatPr defaultRowHeight="15" x14ac:dyDescent="0.25"/>
  <cols>
    <col min="1" max="1" width="142.85546875" customWidth="1"/>
    <col min="2" max="2" width="18.85546875" customWidth="1"/>
    <col min="3" max="3" width="16.140625" customWidth="1"/>
    <col min="4" max="4" width="58.140625" customWidth="1"/>
    <col min="5" max="5" width="7" bestFit="1" customWidth="1"/>
    <col min="6" max="6" width="22.28515625" bestFit="1" customWidth="1"/>
    <col min="9" max="9" width="7" bestFit="1" customWidth="1"/>
    <col min="10" max="10" width="22.28515625" bestFit="1" customWidth="1"/>
  </cols>
  <sheetData>
    <row r="1" spans="1:9" x14ac:dyDescent="0.25">
      <c r="A1" s="11" t="s">
        <v>1</v>
      </c>
      <c r="B1" s="11" t="s">
        <v>5</v>
      </c>
      <c r="C1" s="101" t="s">
        <v>5</v>
      </c>
      <c r="E1" s="11" t="s">
        <v>40</v>
      </c>
      <c r="F1" s="11" t="s">
        <v>46</v>
      </c>
    </row>
    <row r="2" spans="1:9" x14ac:dyDescent="0.25">
      <c r="A2" s="80" t="s">
        <v>158</v>
      </c>
      <c r="B2" s="81"/>
      <c r="C2" s="81"/>
      <c r="E2" s="12" t="s">
        <v>41</v>
      </c>
      <c r="F2" s="1" t="s">
        <v>49</v>
      </c>
    </row>
    <row r="3" spans="1:9" x14ac:dyDescent="0.25">
      <c r="A3" s="91" t="s">
        <v>64</v>
      </c>
      <c r="B3" s="195" t="s">
        <v>179</v>
      </c>
      <c r="C3" s="195"/>
      <c r="E3" s="13" t="s">
        <v>42</v>
      </c>
      <c r="F3" s="1" t="s">
        <v>48</v>
      </c>
    </row>
    <row r="4" spans="1:9" x14ac:dyDescent="0.25">
      <c r="B4" s="88" t="s">
        <v>154</v>
      </c>
      <c r="C4" s="88" t="s">
        <v>155</v>
      </c>
      <c r="E4" s="14" t="s">
        <v>43</v>
      </c>
      <c r="F4" s="1" t="s">
        <v>47</v>
      </c>
    </row>
    <row r="5" spans="1:9" x14ac:dyDescent="0.25">
      <c r="A5" t="s">
        <v>244</v>
      </c>
      <c r="B5" s="32">
        <v>0.1</v>
      </c>
      <c r="C5" s="75">
        <f>AntennaHeightMeters*3.28084</f>
        <v>0.32808400000000004</v>
      </c>
      <c r="E5" s="15" t="s">
        <v>44</v>
      </c>
      <c r="F5" s="1" t="s">
        <v>45</v>
      </c>
    </row>
    <row r="6" spans="1:9" x14ac:dyDescent="0.25">
      <c r="A6" t="s">
        <v>187</v>
      </c>
      <c r="B6" s="36">
        <f>AntennaHeightMeters/(_xlfn.XLOOKUP(WavelengthBand, 'Dropdown List'!C2:C20,'Dropdown List'!H2:H20))</f>
        <v>2.3333333333333335E-3</v>
      </c>
      <c r="C6" s="123"/>
    </row>
    <row r="7" spans="1:9" x14ac:dyDescent="0.25">
      <c r="A7" t="s">
        <v>245</v>
      </c>
      <c r="B7" s="32">
        <v>-2.2200000000000002</v>
      </c>
      <c r="C7" s="156" t="s">
        <v>80</v>
      </c>
    </row>
    <row r="8" spans="1:9" x14ac:dyDescent="0.25">
      <c r="A8" t="s">
        <v>246</v>
      </c>
      <c r="B8" s="78">
        <f>10^(B7/10)</f>
        <v>0.59979107625550931</v>
      </c>
      <c r="C8" s="156" t="s">
        <v>81</v>
      </c>
    </row>
    <row r="9" spans="1:9" x14ac:dyDescent="0.25">
      <c r="A9" t="s">
        <v>180</v>
      </c>
      <c r="B9" s="34">
        <v>100</v>
      </c>
      <c r="C9" s="156" t="s">
        <v>207</v>
      </c>
    </row>
    <row r="10" spans="1:9" x14ac:dyDescent="0.25">
      <c r="A10" t="s">
        <v>101</v>
      </c>
      <c r="B10" s="36">
        <f>B9/100</f>
        <v>1</v>
      </c>
      <c r="C10" s="156" t="s">
        <v>81</v>
      </c>
    </row>
    <row r="11" spans="1:9" x14ac:dyDescent="0.25">
      <c r="A11" s="80" t="s">
        <v>159</v>
      </c>
      <c r="B11" s="82"/>
      <c r="C11" s="82"/>
      <c r="I11" s="58"/>
    </row>
    <row r="12" spans="1:9" x14ac:dyDescent="0.25">
      <c r="A12" t="s">
        <v>178</v>
      </c>
      <c r="B12" s="154" t="s">
        <v>58</v>
      </c>
      <c r="C12" s="123"/>
    </row>
    <row r="13" spans="1:9" x14ac:dyDescent="0.25">
      <c r="A13" t="s">
        <v>99</v>
      </c>
      <c r="B13" s="36">
        <f>_xlfn.XLOOKUP(B12, 'Dropdown List'!N2:N13,'Dropdown List'!O2:O13)</f>
        <v>1</v>
      </c>
      <c r="C13" s="156" t="s">
        <v>81</v>
      </c>
    </row>
    <row r="14" spans="1:9" x14ac:dyDescent="0.25">
      <c r="A14" t="s">
        <v>181</v>
      </c>
      <c r="B14" s="149">
        <v>4</v>
      </c>
      <c r="C14" s="156" t="s">
        <v>259</v>
      </c>
      <c r="D14" s="100"/>
    </row>
    <row r="15" spans="1:9" x14ac:dyDescent="0.25">
      <c r="A15" t="s">
        <v>182</v>
      </c>
      <c r="B15" s="149">
        <v>2</v>
      </c>
      <c r="C15" s="156" t="s">
        <v>259</v>
      </c>
    </row>
    <row r="16" spans="1:9" ht="30" x14ac:dyDescent="0.25">
      <c r="A16" s="3" t="s">
        <v>183</v>
      </c>
      <c r="B16" s="77">
        <f>(TransmitOnMinutes/(TransmitOnMinutes+TransmitOffMinutes))*100</f>
        <v>66.666666666666657</v>
      </c>
      <c r="C16" s="156" t="s">
        <v>207</v>
      </c>
    </row>
    <row r="17" spans="1:4" x14ac:dyDescent="0.25">
      <c r="A17" t="s">
        <v>100</v>
      </c>
      <c r="B17" s="77">
        <f>B16/100</f>
        <v>0.66666666666666652</v>
      </c>
      <c r="C17" s="156" t="s">
        <v>81</v>
      </c>
    </row>
    <row r="18" spans="1:4" x14ac:dyDescent="0.25">
      <c r="A18" s="80" t="s">
        <v>160</v>
      </c>
      <c r="B18" s="83"/>
      <c r="C18" s="83"/>
    </row>
    <row r="19" spans="1:4" x14ac:dyDescent="0.25">
      <c r="A19" t="s">
        <v>247</v>
      </c>
      <c r="B19" s="77">
        <f>PEPAntennaW*EmissionTypeFactor*DutyCycleFactor</f>
        <v>53.568408145707828</v>
      </c>
      <c r="C19" s="156" t="s">
        <v>72</v>
      </c>
    </row>
    <row r="20" spans="1:4" x14ac:dyDescent="0.25">
      <c r="A20" t="s">
        <v>248</v>
      </c>
      <c r="B20" s="77">
        <f>B19*B10</f>
        <v>53.568408145707828</v>
      </c>
      <c r="C20" s="156" t="s">
        <v>72</v>
      </c>
    </row>
    <row r="21" spans="1:4" x14ac:dyDescent="0.25">
      <c r="A21" t="s">
        <v>249</v>
      </c>
      <c r="B21" s="96">
        <f>B20*1000</f>
        <v>53568.408145707828</v>
      </c>
      <c r="C21" s="156" t="s">
        <v>260</v>
      </c>
    </row>
    <row r="22" spans="1:4" x14ac:dyDescent="0.25">
      <c r="A22" s="80" t="s">
        <v>161</v>
      </c>
      <c r="B22" s="82"/>
      <c r="C22" s="82"/>
    </row>
    <row r="23" spans="1:4" x14ac:dyDescent="0.25">
      <c r="A23" s="63"/>
      <c r="B23" s="79" t="s">
        <v>154</v>
      </c>
      <c r="C23" s="88" t="s">
        <v>155</v>
      </c>
    </row>
    <row r="24" spans="1:4" ht="15" customHeight="1" x14ac:dyDescent="0.25">
      <c r="A24" t="s">
        <v>250</v>
      </c>
      <c r="B24" s="77">
        <f>(SQRT((0.64*B21*B8)/(PI()*B39)))/100</f>
        <v>0.42211541147666831</v>
      </c>
      <c r="C24" s="75">
        <f>B24*3.28084</f>
        <v>1.3848931265891125</v>
      </c>
      <c r="D24" s="193" t="s">
        <v>70</v>
      </c>
    </row>
    <row r="25" spans="1:4" x14ac:dyDescent="0.25">
      <c r="A25" t="s">
        <v>251</v>
      </c>
      <c r="B25" s="77">
        <f>(SQRT((0.64*B21*B8)/(PI()*B38)))/100</f>
        <v>0.18877575088242504</v>
      </c>
      <c r="C25" s="75">
        <f t="shared" ref="C25:C27" si="0">B25*3.28084</f>
        <v>0.61934303452509532</v>
      </c>
      <c r="D25" s="194"/>
    </row>
    <row r="26" spans="1:4" x14ac:dyDescent="0.25">
      <c r="A26" t="s">
        <v>252</v>
      </c>
      <c r="B26" s="77">
        <f>(SQRT((B21*B8)/(4*PI()*B39)))/100</f>
        <v>0.26382213217291772</v>
      </c>
      <c r="C26" s="75">
        <f t="shared" si="0"/>
        <v>0.8655582041181954</v>
      </c>
      <c r="D26" s="193" t="s">
        <v>243</v>
      </c>
    </row>
    <row r="27" spans="1:4" x14ac:dyDescent="0.25">
      <c r="A27" t="s">
        <v>253</v>
      </c>
      <c r="B27" s="77">
        <f>(SQRT((B21*B8)/(4*PI()*B38)))/100</f>
        <v>0.11798484430151564</v>
      </c>
      <c r="C27" s="75">
        <f t="shared" si="0"/>
        <v>0.38708939657818459</v>
      </c>
      <c r="D27" s="194"/>
    </row>
    <row r="28" spans="1:4" x14ac:dyDescent="0.25">
      <c r="A28" s="97" t="s">
        <v>184</v>
      </c>
      <c r="B28" s="98"/>
      <c r="C28" s="99"/>
      <c r="D28" s="65"/>
    </row>
    <row r="29" spans="1:4" x14ac:dyDescent="0.25">
      <c r="A29" t="s">
        <v>254</v>
      </c>
      <c r="B29" s="155">
        <f>DistanceUncontrolledMeters</f>
        <v>3</v>
      </c>
      <c r="C29" s="75">
        <f>DistanceUncontrolledFeet</f>
        <v>9.8425200000000004</v>
      </c>
    </row>
    <row r="30" spans="1:4" x14ac:dyDescent="0.25">
      <c r="A30" t="s">
        <v>255</v>
      </c>
      <c r="B30" s="155">
        <f>DistanceControlledMeters</f>
        <v>2.5</v>
      </c>
      <c r="C30" s="75">
        <f>DistanceControlledFeet</f>
        <v>8.2020999999999997</v>
      </c>
    </row>
    <row r="31" spans="1:4" x14ac:dyDescent="0.25">
      <c r="A31" s="80" t="s">
        <v>162</v>
      </c>
      <c r="B31" s="81"/>
      <c r="C31" s="81"/>
    </row>
    <row r="32" spans="1:4" ht="17.25" x14ac:dyDescent="0.25">
      <c r="A32" t="s">
        <v>262</v>
      </c>
      <c r="B32" s="78">
        <f>(0.64*AverageRadiatedPowermW*AntennaGainLinear)/(PI()*((DistanceUncontrolledMeters*100)^2))</f>
        <v>7.2727110451476326E-2</v>
      </c>
      <c r="C32" s="156" t="s">
        <v>209</v>
      </c>
    </row>
    <row r="33" spans="1:3" ht="17.25" x14ac:dyDescent="0.25">
      <c r="A33" t="s">
        <v>263</v>
      </c>
      <c r="B33" s="78">
        <f>(0.64*AverageRadiatedPowermW*AntennaGainLinear)/(PI()*((DistanceControlledMeters*100)^2))</f>
        <v>0.10472703905012591</v>
      </c>
      <c r="C33" s="156" t="s">
        <v>209</v>
      </c>
    </row>
    <row r="34" spans="1:3" ht="17.25" x14ac:dyDescent="0.25">
      <c r="A34" t="s">
        <v>264</v>
      </c>
      <c r="B34" s="78">
        <f>(AverageRadiatedPowermW*AntennaGainLinear)/(4*PI()*((DistanceUncontrolledMeters*100)^2))</f>
        <v>2.8409027520107939E-2</v>
      </c>
      <c r="C34" s="156" t="s">
        <v>209</v>
      </c>
    </row>
    <row r="35" spans="1:3" ht="17.25" x14ac:dyDescent="0.25">
      <c r="A35" t="s">
        <v>265</v>
      </c>
      <c r="B35" s="78">
        <f>(AverageRadiatedPowermW*AntennaGainLinear)/(4*PI()*((DistanceControlledMeters*100)^2))</f>
        <v>4.0908999628955438E-2</v>
      </c>
      <c r="C35" s="156" t="s">
        <v>209</v>
      </c>
    </row>
    <row r="37" spans="1:3" ht="15.75" thickBot="1" x14ac:dyDescent="0.3">
      <c r="A37" s="102" t="s">
        <v>190</v>
      </c>
      <c r="B37" s="168"/>
      <c r="C37" s="168"/>
    </row>
    <row r="38" spans="1:3" ht="17.25" x14ac:dyDescent="0.25">
      <c r="A38" s="94" t="s">
        <v>266</v>
      </c>
      <c r="B38" s="161">
        <f>_xlfn.XLOOKUP(WavelengthBand, 'Dropdown List'!C2:C20,'Dropdown List'!F2:F20)</f>
        <v>18.367346938775512</v>
      </c>
      <c r="C38" s="157" t="s">
        <v>209</v>
      </c>
    </row>
    <row r="39" spans="1:3" ht="17.25" x14ac:dyDescent="0.25">
      <c r="A39" s="95" t="s">
        <v>267</v>
      </c>
      <c r="B39" s="160">
        <f>_xlfn.XLOOKUP(WavelengthBand, 'Dropdown List'!C2:C20,'Dropdown List'!G2:G20)</f>
        <v>3.6734693877551021</v>
      </c>
      <c r="C39" s="162" t="s">
        <v>209</v>
      </c>
    </row>
    <row r="40" spans="1:3" ht="15.75" thickBot="1" x14ac:dyDescent="0.3">
      <c r="A40" s="164" t="s">
        <v>261</v>
      </c>
      <c r="B40" s="165"/>
      <c r="C40" s="163"/>
    </row>
  </sheetData>
  <sheetProtection algorithmName="SHA-512" hashValue="uXf1GpkdCebO2YrTbVaUObAFMKCzq5t7AcKwWeN3XaITNKxB76Aor7OmYb2Mjl2Vbp1jdYGFXnYhqoiAkS/pig==" saltValue="DPqvNks7/Z6iR0AES1gY8Q==" spinCount="100000" sheet="1" selectLockedCells="1"/>
  <mergeCells count="3">
    <mergeCell ref="D24:D25"/>
    <mergeCell ref="D26:D27"/>
    <mergeCell ref="B3:C3"/>
  </mergeCells>
  <phoneticPr fontId="17" type="noConversion"/>
  <conditionalFormatting sqref="B32">
    <cfRule type="cellIs" dxfId="10" priority="8" operator="greaterThan">
      <formula>$B$39</formula>
    </cfRule>
    <cfRule type="cellIs" dxfId="9" priority="9" operator="greaterThanOrEqual">
      <formula>"C35"</formula>
    </cfRule>
  </conditionalFormatting>
  <conditionalFormatting sqref="B33">
    <cfRule type="cellIs" dxfId="8" priority="7" operator="greaterThan">
      <formula>$B$38</formula>
    </cfRule>
  </conditionalFormatting>
  <conditionalFormatting sqref="B34">
    <cfRule type="cellIs" dxfId="7" priority="6" operator="greaterThan">
      <formula>$B$39</formula>
    </cfRule>
  </conditionalFormatting>
  <conditionalFormatting sqref="B35">
    <cfRule type="cellIs" dxfId="6" priority="5" operator="greaterThan">
      <formula>$B$38</formula>
    </cfRule>
  </conditionalFormatting>
  <conditionalFormatting sqref="B6">
    <cfRule type="iconSet" priority="1">
      <iconSet iconSet="5Rating" reverse="1">
        <cfvo type="percent" val="0"/>
        <cfvo type="num" val="0.5"/>
        <cfvo type="num" val="1"/>
        <cfvo type="num" val="1.5"/>
        <cfvo type="num" val="2"/>
      </iconSet>
    </cfRule>
  </conditionalFormatting>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AF7BD36C-10D5-4F7B-82F4-8A467BB882D5}">
          <x14:formula1>
            <xm:f>'Dropdown List'!$N$2:$N$13</xm:f>
          </x14:formula1>
          <xm:sqref>B12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209572-E453-489A-BBA7-CEE892FF21B3}">
  <dimension ref="A1:F48"/>
  <sheetViews>
    <sheetView topLeftCell="A31" workbookViewId="0">
      <selection activeCell="G56" sqref="G56"/>
    </sheetView>
  </sheetViews>
  <sheetFormatPr defaultRowHeight="15" x14ac:dyDescent="0.25"/>
  <cols>
    <col min="1" max="1" width="70.7109375" style="106" customWidth="1"/>
    <col min="2" max="3" width="25.7109375" customWidth="1"/>
  </cols>
  <sheetData>
    <row r="1" spans="1:6" ht="29.25" thickBot="1" x14ac:dyDescent="0.5">
      <c r="A1" s="199" t="s">
        <v>173</v>
      </c>
      <c r="B1" s="199"/>
      <c r="C1" s="199"/>
      <c r="D1" s="26"/>
      <c r="E1" s="26"/>
      <c r="F1" s="26"/>
    </row>
    <row r="2" spans="1:6" ht="15" customHeight="1" x14ac:dyDescent="0.45">
      <c r="A2" s="200" t="s">
        <v>143</v>
      </c>
      <c r="B2" s="201"/>
      <c r="C2" s="202"/>
      <c r="D2" s="26"/>
      <c r="E2" s="26"/>
      <c r="F2" s="26"/>
    </row>
    <row r="3" spans="1:6" s="91" customFormat="1" x14ac:dyDescent="0.25">
      <c r="A3" s="87" t="s">
        <v>0</v>
      </c>
      <c r="B3" s="93" t="str">
        <f>Callsign</f>
        <v>WA4KFZ</v>
      </c>
      <c r="C3" s="135"/>
      <c r="D3" s="92"/>
      <c r="E3" s="92"/>
      <c r="F3" s="92"/>
    </row>
    <row r="4" spans="1:6" s="91" customFormat="1" x14ac:dyDescent="0.25">
      <c r="A4" s="87" t="s">
        <v>206</v>
      </c>
      <c r="B4" s="93" t="str">
        <f>WavelengthBand</f>
        <v>40m</v>
      </c>
      <c r="C4" s="135"/>
      <c r="D4" s="92"/>
      <c r="E4" s="92"/>
      <c r="F4" s="92"/>
    </row>
    <row r="5" spans="1:6" s="91" customFormat="1" x14ac:dyDescent="0.25">
      <c r="A5" s="87" t="s">
        <v>6</v>
      </c>
      <c r="B5" s="93">
        <f>SetupNumber</f>
        <v>1</v>
      </c>
      <c r="C5" s="135"/>
      <c r="D5" s="92"/>
      <c r="E5" s="92"/>
      <c r="F5" s="92"/>
    </row>
    <row r="6" spans="1:6" s="91" customFormat="1" x14ac:dyDescent="0.25">
      <c r="A6" s="87" t="s">
        <v>77</v>
      </c>
      <c r="B6" s="206" t="str">
        <f>SetupDescription</f>
        <v>Homebrew Vertical, HF</v>
      </c>
      <c r="C6" s="207"/>
      <c r="D6" s="92"/>
      <c r="E6" s="92"/>
      <c r="F6" s="92"/>
    </row>
    <row r="7" spans="1:6" s="91" customFormat="1" x14ac:dyDescent="0.25">
      <c r="A7" s="87" t="s">
        <v>7</v>
      </c>
      <c r="B7" s="206" t="str">
        <f>StationLocation</f>
        <v>14345 Brookmere Drive, 
Centreville, VA 20120</v>
      </c>
      <c r="C7" s="207"/>
      <c r="D7" s="92"/>
      <c r="E7" s="92"/>
      <c r="F7" s="92"/>
    </row>
    <row r="8" spans="1:6" s="91" customFormat="1" x14ac:dyDescent="0.25">
      <c r="A8" s="87" t="s">
        <v>8</v>
      </c>
      <c r="B8" s="206" t="str">
        <f>EvaluatedBy</f>
        <v>Mark Braunstein</v>
      </c>
      <c r="C8" s="207"/>
      <c r="D8" s="92"/>
      <c r="E8" s="92"/>
      <c r="F8" s="92"/>
    </row>
    <row r="9" spans="1:6" s="91" customFormat="1" x14ac:dyDescent="0.25">
      <c r="A9" s="87" t="s">
        <v>9</v>
      </c>
      <c r="B9" s="208">
        <f ca="1">DateField</f>
        <v>44583</v>
      </c>
      <c r="C9" s="209"/>
      <c r="D9" s="92"/>
      <c r="E9" s="92"/>
      <c r="F9" s="92"/>
    </row>
    <row r="10" spans="1:6" s="91" customFormat="1" x14ac:dyDescent="0.25">
      <c r="A10" s="87" t="s">
        <v>2</v>
      </c>
      <c r="B10" s="206" t="str">
        <f>TransmitterDescription</f>
        <v>Icom IC-706MKIIG</v>
      </c>
      <c r="C10" s="207"/>
      <c r="D10" s="92"/>
      <c r="E10" s="92"/>
      <c r="F10" s="92"/>
    </row>
    <row r="11" spans="1:6" s="91" customFormat="1" x14ac:dyDescent="0.25">
      <c r="A11" s="87" t="s">
        <v>3</v>
      </c>
      <c r="B11" s="206" t="str">
        <f>AmplifierDescription</f>
        <v>None</v>
      </c>
      <c r="C11" s="207"/>
      <c r="D11" s="92"/>
      <c r="E11" s="92"/>
      <c r="F11" s="92"/>
    </row>
    <row r="12" spans="1:6" s="91" customFormat="1" x14ac:dyDescent="0.25">
      <c r="A12" s="87" t="s">
        <v>165</v>
      </c>
      <c r="B12" s="93">
        <f>PEPOutputW</f>
        <v>100</v>
      </c>
      <c r="C12" s="136" t="s">
        <v>72</v>
      </c>
      <c r="D12" s="92"/>
      <c r="E12" s="92"/>
      <c r="F12" s="92"/>
    </row>
    <row r="13" spans="1:6" s="91" customFormat="1" ht="15.75" thickBot="1" x14ac:dyDescent="0.3">
      <c r="A13" s="86" t="s">
        <v>166</v>
      </c>
      <c r="B13" s="107">
        <f>PEPOutputdBW</f>
        <v>20</v>
      </c>
      <c r="C13" s="137" t="s">
        <v>73</v>
      </c>
      <c r="D13" s="92"/>
      <c r="E13" s="92"/>
      <c r="F13" s="92"/>
    </row>
    <row r="14" spans="1:6" x14ac:dyDescent="0.25">
      <c r="A14" s="203" t="s">
        <v>174</v>
      </c>
      <c r="B14" s="204"/>
      <c r="C14" s="205"/>
    </row>
    <row r="15" spans="1:6" s="91" customFormat="1" x14ac:dyDescent="0.25">
      <c r="A15" s="138" t="s">
        <v>65</v>
      </c>
      <c r="B15" s="93" t="str">
        <f>EmissionType</f>
        <v>FSK</v>
      </c>
      <c r="C15" s="139"/>
    </row>
    <row r="16" spans="1:6" s="91" customFormat="1" x14ac:dyDescent="0.25">
      <c r="A16" s="138" t="s">
        <v>99</v>
      </c>
      <c r="B16" s="115">
        <f>EmissionTypeFactor</f>
        <v>1</v>
      </c>
      <c r="C16" s="140" t="s">
        <v>81</v>
      </c>
    </row>
    <row r="17" spans="1:5" s="91" customFormat="1" ht="30" x14ac:dyDescent="0.25">
      <c r="A17" s="138" t="s">
        <v>192</v>
      </c>
      <c r="B17" s="116">
        <f>TransmitDutyCycle</f>
        <v>66.666666666666657</v>
      </c>
      <c r="C17" s="85" t="s">
        <v>207</v>
      </c>
    </row>
    <row r="18" spans="1:5" s="91" customFormat="1" ht="15.75" thickBot="1" x14ac:dyDescent="0.3">
      <c r="A18" s="141" t="s">
        <v>100</v>
      </c>
      <c r="B18" s="110">
        <f>DutyCycleFactor</f>
        <v>0.66666666666666652</v>
      </c>
      <c r="C18" s="142" t="s">
        <v>81</v>
      </c>
    </row>
    <row r="19" spans="1:5" x14ac:dyDescent="0.25">
      <c r="A19" s="203" t="s">
        <v>175</v>
      </c>
      <c r="B19" s="204"/>
      <c r="C19" s="205"/>
    </row>
    <row r="20" spans="1:5" s="91" customFormat="1" x14ac:dyDescent="0.25">
      <c r="A20" s="138" t="s">
        <v>64</v>
      </c>
      <c r="B20" s="213" t="str">
        <f>AntennaDescription</f>
        <v>Multiband vertical</v>
      </c>
      <c r="C20" s="214"/>
    </row>
    <row r="21" spans="1:5" s="91" customFormat="1" x14ac:dyDescent="0.25">
      <c r="A21" s="138" t="s">
        <v>102</v>
      </c>
      <c r="B21" s="93">
        <f>AntennaHeightMeters</f>
        <v>0.1</v>
      </c>
      <c r="C21" s="140" t="s">
        <v>79</v>
      </c>
    </row>
    <row r="22" spans="1:5" s="103" customFormat="1" ht="30" x14ac:dyDescent="0.25">
      <c r="A22" s="138" t="s">
        <v>191</v>
      </c>
      <c r="B22" s="117">
        <f>AntennaHeightWavelengths</f>
        <v>2.3333333333333335E-3</v>
      </c>
      <c r="C22" s="85" t="s">
        <v>188</v>
      </c>
    </row>
    <row r="23" spans="1:5" s="91" customFormat="1" x14ac:dyDescent="0.25">
      <c r="A23" s="138" t="s">
        <v>103</v>
      </c>
      <c r="B23" s="93">
        <f>AntennaGaindBi</f>
        <v>-2.2200000000000002</v>
      </c>
      <c r="C23" s="140" t="s">
        <v>80</v>
      </c>
    </row>
    <row r="24" spans="1:5" s="91" customFormat="1" x14ac:dyDescent="0.25">
      <c r="A24" s="138" t="s">
        <v>66</v>
      </c>
      <c r="B24" s="93">
        <f>AntennaEfficiency</f>
        <v>100</v>
      </c>
      <c r="C24" s="140" t="s">
        <v>82</v>
      </c>
    </row>
    <row r="25" spans="1:5" s="91" customFormat="1" x14ac:dyDescent="0.25">
      <c r="A25" s="138" t="s">
        <v>101</v>
      </c>
      <c r="B25" s="115">
        <f>AntennaEfficiencyFactor</f>
        <v>1</v>
      </c>
      <c r="C25" s="140" t="s">
        <v>81</v>
      </c>
    </row>
    <row r="26" spans="1:5" s="91" customFormat="1" ht="15.75" thickBot="1" x14ac:dyDescent="0.3">
      <c r="A26" s="141" t="s">
        <v>189</v>
      </c>
      <c r="B26" s="110">
        <f>AverageAntennaInputPowerW</f>
        <v>53.568408145707828</v>
      </c>
      <c r="C26" s="142" t="s">
        <v>72</v>
      </c>
    </row>
    <row r="27" spans="1:5" x14ac:dyDescent="0.25">
      <c r="A27" s="203" t="s">
        <v>176</v>
      </c>
      <c r="B27" s="204"/>
      <c r="C27" s="205"/>
    </row>
    <row r="28" spans="1:5" s="91" customFormat="1" ht="15.75" thickBot="1" x14ac:dyDescent="0.3">
      <c r="A28" s="141" t="s">
        <v>104</v>
      </c>
      <c r="B28" s="110">
        <f>AverageRadiatedPowerW</f>
        <v>53.568408145707828</v>
      </c>
      <c r="C28" s="142" t="s">
        <v>72</v>
      </c>
    </row>
    <row r="29" spans="1:5" x14ac:dyDescent="0.25">
      <c r="A29" s="203" t="s">
        <v>161</v>
      </c>
      <c r="B29" s="204"/>
      <c r="C29" s="205"/>
    </row>
    <row r="30" spans="1:5" s="91" customFormat="1" x14ac:dyDescent="0.25">
      <c r="A30" s="143"/>
      <c r="B30" s="113" t="s">
        <v>154</v>
      </c>
      <c r="C30" s="144" t="s">
        <v>155</v>
      </c>
      <c r="D30" s="104"/>
      <c r="E30" s="104"/>
    </row>
    <row r="31" spans="1:5" s="91" customFormat="1" ht="30" x14ac:dyDescent="0.25">
      <c r="A31" s="138" t="s">
        <v>208</v>
      </c>
      <c r="B31" s="114">
        <f>MinDistanceUncontrolledGroundMeters</f>
        <v>0.42211541147666831</v>
      </c>
      <c r="C31" s="108">
        <f>MinDistanceUncontrolledGroundFeet</f>
        <v>1.3848931265891125</v>
      </c>
      <c r="D31" s="104"/>
      <c r="E31" s="104"/>
    </row>
    <row r="32" spans="1:5" s="91" customFormat="1" ht="30" x14ac:dyDescent="0.25">
      <c r="A32" s="138" t="s">
        <v>200</v>
      </c>
      <c r="B32" s="114">
        <f>MinDistanceControlledGroundMeters</f>
        <v>0.18877575088242504</v>
      </c>
      <c r="C32" s="108">
        <f>MinDistanceControlledGroundFeet</f>
        <v>0.61934303452509532</v>
      </c>
      <c r="D32" s="104"/>
      <c r="E32" s="104"/>
    </row>
    <row r="33" spans="1:5" s="91" customFormat="1" ht="30" x14ac:dyDescent="0.25">
      <c r="A33" s="138" t="s">
        <v>201</v>
      </c>
      <c r="B33" s="114">
        <f>MinDistanceUncontrolledNoGroundMeters</f>
        <v>0.26382213217291772</v>
      </c>
      <c r="C33" s="108">
        <f>MinDistanceUncontrolledNoGroundFeet</f>
        <v>0.8655582041181954</v>
      </c>
      <c r="D33" s="104"/>
      <c r="E33" s="104"/>
    </row>
    <row r="34" spans="1:5" s="91" customFormat="1" ht="30.75" thickBot="1" x14ac:dyDescent="0.3">
      <c r="A34" s="141" t="s">
        <v>202</v>
      </c>
      <c r="B34" s="110">
        <f>MinDistanceControlledNoGroundMeters</f>
        <v>0.11798484430151564</v>
      </c>
      <c r="C34" s="109">
        <f>MinDistanceControlledNoGroundFeet</f>
        <v>0.38708939657818459</v>
      </c>
      <c r="D34" s="104"/>
      <c r="E34" s="104"/>
    </row>
    <row r="35" spans="1:5" x14ac:dyDescent="0.25">
      <c r="A35" s="210" t="s">
        <v>184</v>
      </c>
      <c r="B35" s="211"/>
      <c r="C35" s="212"/>
      <c r="D35" s="58"/>
      <c r="E35" s="58"/>
    </row>
    <row r="36" spans="1:5" s="91" customFormat="1" x14ac:dyDescent="0.25">
      <c r="A36" s="145"/>
      <c r="B36" s="113" t="s">
        <v>154</v>
      </c>
      <c r="C36" s="144" t="s">
        <v>155</v>
      </c>
      <c r="D36" s="104"/>
      <c r="E36" s="104"/>
    </row>
    <row r="37" spans="1:5" s="91" customFormat="1" ht="30" x14ac:dyDescent="0.25">
      <c r="A37" s="138" t="s">
        <v>203</v>
      </c>
      <c r="B37" s="93">
        <f>DistanceUncontrolledMeters</f>
        <v>3</v>
      </c>
      <c r="C37" s="108">
        <f>DistanceUncontrolledFeet</f>
        <v>9.8425200000000004</v>
      </c>
      <c r="D37" s="104"/>
      <c r="E37" s="104"/>
    </row>
    <row r="38" spans="1:5" s="91" customFormat="1" ht="30.75" thickBot="1" x14ac:dyDescent="0.3">
      <c r="A38" s="141" t="s">
        <v>204</v>
      </c>
      <c r="B38" s="107">
        <f>DistanceControlledMeters</f>
        <v>2.5</v>
      </c>
      <c r="C38" s="109">
        <f>DistanceControlledFeet</f>
        <v>8.2020999999999997</v>
      </c>
      <c r="D38" s="104"/>
      <c r="E38" s="104"/>
    </row>
    <row r="39" spans="1:5" x14ac:dyDescent="0.25">
      <c r="A39" s="203" t="s">
        <v>185</v>
      </c>
      <c r="B39" s="204"/>
      <c r="C39" s="205"/>
      <c r="D39" s="58"/>
      <c r="E39" s="58"/>
    </row>
    <row r="40" spans="1:5" s="91" customFormat="1" ht="30" x14ac:dyDescent="0.25">
      <c r="A40" s="138" t="s">
        <v>271</v>
      </c>
      <c r="B40" s="114">
        <f>PFDUncontrolledGround</f>
        <v>7.2727110451476326E-2</v>
      </c>
      <c r="C40" s="140" t="s">
        <v>209</v>
      </c>
    </row>
    <row r="41" spans="1:5" s="91" customFormat="1" ht="30" x14ac:dyDescent="0.25">
      <c r="A41" s="138" t="s">
        <v>271</v>
      </c>
      <c r="B41" s="114">
        <f>PFDControlledGround</f>
        <v>0.10472703905012591</v>
      </c>
      <c r="C41" s="140" t="s">
        <v>209</v>
      </c>
    </row>
    <row r="42" spans="1:5" s="91" customFormat="1" ht="30" x14ac:dyDescent="0.25">
      <c r="A42" s="138" t="s">
        <v>272</v>
      </c>
      <c r="B42" s="114">
        <f>PFDUncontrolledNoGround</f>
        <v>2.8409027520107939E-2</v>
      </c>
      <c r="C42" s="140" t="s">
        <v>209</v>
      </c>
    </row>
    <row r="43" spans="1:5" s="91" customFormat="1" ht="30.75" thickBot="1" x14ac:dyDescent="0.3">
      <c r="A43" s="141" t="s">
        <v>273</v>
      </c>
      <c r="B43" s="110">
        <f>PFDControlledNoGround</f>
        <v>4.0908999628955438E-2</v>
      </c>
      <c r="C43" s="142" t="s">
        <v>209</v>
      </c>
    </row>
    <row r="44" spans="1:5" ht="15.75" thickBot="1" x14ac:dyDescent="0.3"/>
    <row r="45" spans="1:5" x14ac:dyDescent="0.25">
      <c r="A45" s="196" t="s">
        <v>268</v>
      </c>
      <c r="B45" s="197"/>
      <c r="C45" s="198"/>
    </row>
    <row r="46" spans="1:5" ht="17.25" x14ac:dyDescent="0.25">
      <c r="A46" s="95" t="s">
        <v>269</v>
      </c>
      <c r="B46" s="166">
        <f>CONTROLLED</f>
        <v>18.367346938775512</v>
      </c>
      <c r="C46" s="162" t="s">
        <v>209</v>
      </c>
    </row>
    <row r="47" spans="1:5" ht="18" thickBot="1" x14ac:dyDescent="0.3">
      <c r="A47" s="158" t="s">
        <v>270</v>
      </c>
      <c r="B47" s="167">
        <f>UNCONTROLLED</f>
        <v>3.6734693877551021</v>
      </c>
      <c r="C47" s="159" t="s">
        <v>209</v>
      </c>
    </row>
    <row r="48" spans="1:5" x14ac:dyDescent="0.25">
      <c r="A48"/>
    </row>
  </sheetData>
  <sheetProtection algorithmName="SHA-512" hashValue="zSbhiI5UmSrlhj3zTSCNXkrnmFQ1/Xl1U+efDzgQpeuW+GPeA8aS+acrdtxW8+UyXxP94ZZdJzbSHVxB+SIfWQ==" saltValue="p9UZTJV6pfMc3tMc3AHobQ==" spinCount="100000" sheet="1" selectLockedCells="1" selectUnlockedCells="1"/>
  <mergeCells count="16">
    <mergeCell ref="A45:C45"/>
    <mergeCell ref="A1:C1"/>
    <mergeCell ref="A2:C2"/>
    <mergeCell ref="A14:C14"/>
    <mergeCell ref="A19:C19"/>
    <mergeCell ref="B7:C7"/>
    <mergeCell ref="B6:C6"/>
    <mergeCell ref="B8:C8"/>
    <mergeCell ref="B9:C9"/>
    <mergeCell ref="B10:C10"/>
    <mergeCell ref="A27:C27"/>
    <mergeCell ref="A29:C29"/>
    <mergeCell ref="A35:C35"/>
    <mergeCell ref="A39:C39"/>
    <mergeCell ref="B11:C11"/>
    <mergeCell ref="B20:C20"/>
  </mergeCells>
  <conditionalFormatting sqref="B42">
    <cfRule type="cellIs" dxfId="5" priority="8" operator="greaterThan">
      <formula>"UNCONTROLLED"</formula>
    </cfRule>
  </conditionalFormatting>
  <conditionalFormatting sqref="B43">
    <cfRule type="cellIs" dxfId="4" priority="7" operator="greaterThan">
      <formula>"CONTROLLED"</formula>
    </cfRule>
  </conditionalFormatting>
  <conditionalFormatting sqref="B22">
    <cfRule type="iconSet" priority="1">
      <iconSet iconSet="5Rating" reverse="1">
        <cfvo type="percent" val="0"/>
        <cfvo type="num" val="0.5"/>
        <cfvo type="num" val="1"/>
        <cfvo type="num" val="1.5"/>
        <cfvo type="num" val="2"/>
      </iconSet>
    </cfRule>
  </conditionalFormatting>
  <pageMargins left="0.7" right="0.7" top="0.75" bottom="0.75" header="0.3" footer="0.3"/>
  <pageSetup orientation="landscape" r:id="rId1"/>
  <headerFooter>
    <oddFooter>Page &amp;P of &amp;N</oddFooter>
  </headerFooter>
  <rowBreaks count="1" manualBreakCount="1">
    <brk id="28" max="16383" man="1"/>
  </rowBreaks>
  <extLst>
    <ext xmlns:x14="http://schemas.microsoft.com/office/spreadsheetml/2009/9/main" uri="{78C0D931-6437-407d-A8EE-F0AAD7539E65}">
      <x14:conditionalFormattings>
        <x14:conditionalFormatting xmlns:xm="http://schemas.microsoft.com/office/excel/2006/main">
          <x14:cfRule type="cellIs" priority="4" operator="greaterThan" id="{5AC076EB-5157-42CA-89EE-5CF4FCF6A6C1}">
            <xm:f>'Routine Evaluation Worksheet'!$B$38</xm:f>
            <x14:dxf>
              <font>
                <color rgb="FF9C0006"/>
              </font>
              <fill>
                <patternFill>
                  <bgColor rgb="FFFFC7CE"/>
                </patternFill>
              </fill>
            </x14:dxf>
          </x14:cfRule>
          <xm:sqref>B41</xm:sqref>
        </x14:conditionalFormatting>
        <x14:conditionalFormatting xmlns:xm="http://schemas.microsoft.com/office/excel/2006/main">
          <x14:cfRule type="cellIs" priority="3" operator="greaterThan" id="{C11ED32C-8592-4341-ACCF-B38ED6701B0B}">
            <xm:f>'Routine Evaluation Worksheet'!$B$39</xm:f>
            <x14:dxf>
              <font>
                <color rgb="FF9C0006"/>
              </font>
              <fill>
                <patternFill>
                  <bgColor rgb="FFFFC7CE"/>
                </patternFill>
              </fill>
            </x14:dxf>
          </x14:cfRule>
          <xm:sqref>B42</xm:sqref>
        </x14:conditionalFormatting>
        <x14:conditionalFormatting xmlns:xm="http://schemas.microsoft.com/office/excel/2006/main">
          <x14:cfRule type="cellIs" priority="2" operator="greaterThan" id="{EB4E41F1-E7E3-4B83-9835-4224D6AAF626}">
            <xm:f>'Routine Evaluation Worksheet'!$B$38</xm:f>
            <x14:dxf>
              <font>
                <color rgb="FF9C0006"/>
              </font>
              <fill>
                <patternFill>
                  <bgColor rgb="FFFFC7CE"/>
                </patternFill>
              </fill>
            </x14:dxf>
          </x14:cfRule>
          <xm:sqref>B43</xm:sqref>
        </x14:conditionalFormatting>
        <x14:conditionalFormatting xmlns:xm="http://schemas.microsoft.com/office/excel/2006/main">
          <x14:cfRule type="cellIs" priority="5" operator="greaterThan" id="{01B5A36D-967C-4A3E-98CD-F44DEF97EB40}">
            <xm:f>'Routine Evaluation Worksheet'!$B$39</xm:f>
            <x14:dxf>
              <font>
                <color rgb="FF9C0006"/>
              </font>
              <fill>
                <patternFill>
                  <bgColor rgb="FFFFC7CE"/>
                </patternFill>
              </fill>
            </x14:dxf>
          </x14:cfRule>
          <xm:sqref>B40</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3AE8CC-6F56-4FF3-9A23-388A8CD3B085}">
  <dimension ref="A1:K38"/>
  <sheetViews>
    <sheetView workbookViewId="0">
      <selection activeCell="B15" sqref="B15:B17"/>
    </sheetView>
  </sheetViews>
  <sheetFormatPr defaultRowHeight="15" x14ac:dyDescent="0.25"/>
  <cols>
    <col min="1" max="1" width="15.85546875" customWidth="1"/>
    <col min="2" max="2" width="15.42578125" customWidth="1"/>
  </cols>
  <sheetData>
    <row r="1" spans="1:11" x14ac:dyDescent="0.25">
      <c r="A1" s="30" t="s">
        <v>87</v>
      </c>
      <c r="B1" s="30" t="s">
        <v>87</v>
      </c>
      <c r="C1" s="216" t="s">
        <v>1</v>
      </c>
      <c r="D1" s="217"/>
      <c r="E1" s="217"/>
      <c r="F1" s="217"/>
      <c r="G1" s="217"/>
      <c r="H1" s="217"/>
      <c r="I1" s="217"/>
      <c r="J1" s="217"/>
      <c r="K1" s="218"/>
    </row>
    <row r="3" spans="1:11" x14ac:dyDescent="0.25">
      <c r="A3" s="219" t="s">
        <v>91</v>
      </c>
      <c r="B3" s="220"/>
      <c r="C3" s="220"/>
      <c r="D3" s="220"/>
      <c r="E3" s="220"/>
      <c r="F3" s="220"/>
      <c r="G3" s="220"/>
      <c r="H3" s="220"/>
      <c r="I3" s="220"/>
      <c r="J3" s="220"/>
      <c r="K3" s="220"/>
    </row>
    <row r="4" spans="1:11" x14ac:dyDescent="0.25">
      <c r="A4" s="220"/>
      <c r="B4" s="220"/>
      <c r="C4" s="220"/>
      <c r="D4" s="220"/>
      <c r="E4" s="220"/>
      <c r="F4" s="220"/>
      <c r="G4" s="220"/>
      <c r="H4" s="220"/>
      <c r="I4" s="220"/>
      <c r="J4" s="220"/>
      <c r="K4" s="220"/>
    </row>
    <row r="5" spans="1:11" ht="32.25" customHeight="1" x14ac:dyDescent="0.25">
      <c r="A5" s="220"/>
      <c r="B5" s="220"/>
      <c r="C5" s="220"/>
      <c r="D5" s="220"/>
      <c r="E5" s="220"/>
      <c r="F5" s="220"/>
      <c r="G5" s="220"/>
      <c r="H5" s="220"/>
      <c r="I5" s="220"/>
      <c r="J5" s="220"/>
      <c r="K5" s="220"/>
    </row>
    <row r="6" spans="1:11" x14ac:dyDescent="0.25">
      <c r="A6" s="27"/>
      <c r="B6" s="29"/>
      <c r="C6" s="29"/>
      <c r="D6" s="29"/>
      <c r="E6" s="29"/>
      <c r="F6" s="29"/>
      <c r="G6" s="29"/>
      <c r="H6" s="29"/>
      <c r="I6" s="29"/>
      <c r="J6" s="29"/>
      <c r="K6" s="29"/>
    </row>
    <row r="7" spans="1:11" x14ac:dyDescent="0.25">
      <c r="A7" s="215" t="s">
        <v>257</v>
      </c>
      <c r="B7" s="219" t="s">
        <v>88</v>
      </c>
      <c r="C7" s="220"/>
      <c r="D7" s="220"/>
      <c r="E7" s="220"/>
      <c r="F7" s="220"/>
      <c r="G7" s="220"/>
      <c r="H7" s="220"/>
      <c r="I7" s="220"/>
      <c r="J7" s="220"/>
      <c r="K7" s="220"/>
    </row>
    <row r="8" spans="1:11" x14ac:dyDescent="0.25">
      <c r="A8" s="215"/>
      <c r="B8" s="220"/>
      <c r="C8" s="220"/>
      <c r="D8" s="220"/>
      <c r="E8" s="220"/>
      <c r="F8" s="220"/>
      <c r="G8" s="220"/>
      <c r="H8" s="220"/>
      <c r="I8" s="220"/>
      <c r="J8" s="220"/>
      <c r="K8" s="220"/>
    </row>
    <row r="9" spans="1:11" x14ac:dyDescent="0.25">
      <c r="A9" s="215"/>
      <c r="B9" s="220"/>
      <c r="C9" s="220"/>
      <c r="D9" s="220"/>
      <c r="E9" s="220"/>
      <c r="F9" s="220"/>
      <c r="G9" s="220"/>
      <c r="H9" s="220"/>
      <c r="I9" s="220"/>
      <c r="J9" s="220"/>
      <c r="K9" s="220"/>
    </row>
    <row r="10" spans="1:11" x14ac:dyDescent="0.25">
      <c r="B10" s="27"/>
      <c r="C10" s="27"/>
      <c r="D10" s="27"/>
      <c r="E10" s="27"/>
      <c r="F10" s="27"/>
      <c r="G10" s="27"/>
      <c r="H10" s="27"/>
      <c r="I10" s="27"/>
      <c r="J10" s="27"/>
      <c r="K10" s="27"/>
    </row>
    <row r="11" spans="1:11" x14ac:dyDescent="0.25">
      <c r="B11" s="215" t="s">
        <v>86</v>
      </c>
      <c r="C11" s="219" t="s">
        <v>89</v>
      </c>
      <c r="D11" s="220"/>
      <c r="E11" s="220"/>
      <c r="F11" s="220"/>
      <c r="G11" s="220"/>
      <c r="H11" s="220"/>
      <c r="I11" s="220"/>
      <c r="J11" s="220"/>
      <c r="K11" s="220"/>
    </row>
    <row r="12" spans="1:11" x14ac:dyDescent="0.25">
      <c r="B12" s="215"/>
      <c r="C12" s="220"/>
      <c r="D12" s="220"/>
      <c r="E12" s="220"/>
      <c r="F12" s="220"/>
      <c r="G12" s="220"/>
      <c r="H12" s="220"/>
      <c r="I12" s="220"/>
      <c r="J12" s="220"/>
      <c r="K12" s="220"/>
    </row>
    <row r="13" spans="1:11" x14ac:dyDescent="0.25">
      <c r="B13" s="215"/>
      <c r="C13" s="220"/>
      <c r="D13" s="220"/>
      <c r="E13" s="220"/>
      <c r="F13" s="220"/>
      <c r="G13" s="220"/>
      <c r="H13" s="220"/>
      <c r="I13" s="220"/>
      <c r="J13" s="220"/>
      <c r="K13" s="220"/>
    </row>
    <row r="15" spans="1:11" x14ac:dyDescent="0.25">
      <c r="B15" s="215" t="s">
        <v>258</v>
      </c>
      <c r="C15" s="219" t="s">
        <v>90</v>
      </c>
      <c r="D15" s="220"/>
      <c r="E15" s="220"/>
      <c r="F15" s="220"/>
      <c r="G15" s="220"/>
      <c r="H15" s="220"/>
      <c r="I15" s="220"/>
      <c r="J15" s="220"/>
      <c r="K15" s="220"/>
    </row>
    <row r="16" spans="1:11" x14ac:dyDescent="0.25">
      <c r="B16" s="215"/>
      <c r="C16" s="220"/>
      <c r="D16" s="220"/>
      <c r="E16" s="220"/>
      <c r="F16" s="220"/>
      <c r="G16" s="220"/>
      <c r="H16" s="220"/>
      <c r="I16" s="220"/>
      <c r="J16" s="220"/>
      <c r="K16" s="220"/>
    </row>
    <row r="17" spans="1:11" x14ac:dyDescent="0.25">
      <c r="B17" s="215"/>
      <c r="C17" s="220"/>
      <c r="D17" s="220"/>
      <c r="E17" s="220"/>
      <c r="F17" s="220"/>
      <c r="G17" s="220"/>
      <c r="H17" s="220"/>
      <c r="I17" s="220"/>
      <c r="J17" s="220"/>
      <c r="K17" s="220"/>
    </row>
    <row r="19" spans="1:11" x14ac:dyDescent="0.25">
      <c r="B19" s="215" t="s">
        <v>86</v>
      </c>
      <c r="C19" s="221" t="s">
        <v>105</v>
      </c>
      <c r="D19" s="221"/>
      <c r="E19" s="221"/>
      <c r="F19" s="221"/>
      <c r="G19" s="221"/>
      <c r="H19" s="221"/>
      <c r="I19" s="221"/>
      <c r="J19" s="221"/>
      <c r="K19" s="221"/>
    </row>
    <row r="20" spans="1:11" x14ac:dyDescent="0.25">
      <c r="B20" s="215"/>
      <c r="C20" s="221"/>
      <c r="D20" s="221"/>
      <c r="E20" s="221"/>
      <c r="F20" s="221"/>
      <c r="G20" s="221"/>
      <c r="H20" s="221"/>
      <c r="I20" s="221"/>
      <c r="J20" s="221"/>
      <c r="K20" s="221"/>
    </row>
    <row r="21" spans="1:11" x14ac:dyDescent="0.25">
      <c r="B21" s="215"/>
      <c r="C21" s="221"/>
      <c r="D21" s="221"/>
      <c r="E21" s="221"/>
      <c r="F21" s="221"/>
      <c r="G21" s="221"/>
      <c r="H21" s="221"/>
      <c r="I21" s="221"/>
      <c r="J21" s="221"/>
      <c r="K21" s="221"/>
    </row>
    <row r="24" spans="1:11" x14ac:dyDescent="0.25">
      <c r="A24" s="215" t="s">
        <v>106</v>
      </c>
      <c r="B24" s="219" t="s">
        <v>92</v>
      </c>
      <c r="C24" s="220"/>
      <c r="D24" s="220"/>
      <c r="E24" s="220"/>
      <c r="F24" s="220"/>
      <c r="G24" s="220"/>
      <c r="H24" s="220"/>
      <c r="I24" s="220"/>
      <c r="J24" s="220"/>
      <c r="K24" s="220"/>
    </row>
    <row r="25" spans="1:11" x14ac:dyDescent="0.25">
      <c r="A25" s="215"/>
      <c r="B25" s="220"/>
      <c r="C25" s="220"/>
      <c r="D25" s="220"/>
      <c r="E25" s="220"/>
      <c r="F25" s="220"/>
      <c r="G25" s="220"/>
      <c r="H25" s="220"/>
      <c r="I25" s="220"/>
      <c r="J25" s="220"/>
      <c r="K25" s="220"/>
    </row>
    <row r="26" spans="1:11" x14ac:dyDescent="0.25">
      <c r="A26" s="215"/>
      <c r="B26" s="220"/>
      <c r="C26" s="220"/>
      <c r="D26" s="220"/>
      <c r="E26" s="220"/>
      <c r="F26" s="220"/>
      <c r="G26" s="220"/>
      <c r="H26" s="220"/>
      <c r="I26" s="220"/>
      <c r="J26" s="220"/>
      <c r="K26" s="220"/>
    </row>
    <row r="28" spans="1:11" x14ac:dyDescent="0.25">
      <c r="B28" s="215" t="s">
        <v>86</v>
      </c>
      <c r="C28" s="219" t="s">
        <v>93</v>
      </c>
      <c r="D28" s="220"/>
      <c r="E28" s="220"/>
      <c r="F28" s="220"/>
      <c r="G28" s="220"/>
      <c r="H28" s="220"/>
      <c r="I28" s="220"/>
      <c r="J28" s="220"/>
      <c r="K28" s="220"/>
    </row>
    <row r="29" spans="1:11" x14ac:dyDescent="0.25">
      <c r="B29" s="215"/>
      <c r="C29" s="220"/>
      <c r="D29" s="220"/>
      <c r="E29" s="220"/>
      <c r="F29" s="220"/>
      <c r="G29" s="220"/>
      <c r="H29" s="220"/>
      <c r="I29" s="220"/>
      <c r="J29" s="220"/>
      <c r="K29" s="220"/>
    </row>
    <row r="30" spans="1:11" x14ac:dyDescent="0.25">
      <c r="B30" s="215"/>
      <c r="C30" s="220"/>
      <c r="D30" s="220"/>
      <c r="E30" s="220"/>
      <c r="F30" s="220"/>
      <c r="G30" s="220"/>
      <c r="H30" s="220"/>
      <c r="I30" s="220"/>
      <c r="J30" s="220"/>
      <c r="K30" s="220"/>
    </row>
    <row r="32" spans="1:11" x14ac:dyDescent="0.25">
      <c r="B32" s="215" t="s">
        <v>86</v>
      </c>
      <c r="C32" s="219" t="s">
        <v>94</v>
      </c>
      <c r="D32" s="220"/>
      <c r="E32" s="220"/>
      <c r="F32" s="220"/>
      <c r="G32" s="220"/>
      <c r="H32" s="220"/>
      <c r="I32" s="220"/>
      <c r="J32" s="220"/>
      <c r="K32" s="220"/>
    </row>
    <row r="33" spans="2:11" x14ac:dyDescent="0.25">
      <c r="B33" s="215"/>
      <c r="C33" s="220"/>
      <c r="D33" s="220"/>
      <c r="E33" s="220"/>
      <c r="F33" s="220"/>
      <c r="G33" s="220"/>
      <c r="H33" s="220"/>
      <c r="I33" s="220"/>
      <c r="J33" s="220"/>
      <c r="K33" s="220"/>
    </row>
    <row r="34" spans="2:11" x14ac:dyDescent="0.25">
      <c r="B34" s="215"/>
      <c r="C34" s="220"/>
      <c r="D34" s="220"/>
      <c r="E34" s="220"/>
      <c r="F34" s="220"/>
      <c r="G34" s="220"/>
      <c r="H34" s="220"/>
      <c r="I34" s="220"/>
      <c r="J34" s="220"/>
      <c r="K34" s="220"/>
    </row>
    <row r="36" spans="2:11" x14ac:dyDescent="0.25">
      <c r="B36" s="215" t="s">
        <v>86</v>
      </c>
      <c r="C36" s="221" t="s">
        <v>105</v>
      </c>
      <c r="D36" s="221"/>
      <c r="E36" s="221"/>
      <c r="F36" s="221"/>
      <c r="G36" s="221"/>
      <c r="H36" s="221"/>
      <c r="I36" s="221"/>
      <c r="J36" s="221"/>
      <c r="K36" s="221"/>
    </row>
    <row r="37" spans="2:11" x14ac:dyDescent="0.25">
      <c r="B37" s="215"/>
      <c r="C37" s="221"/>
      <c r="D37" s="221"/>
      <c r="E37" s="221"/>
      <c r="F37" s="221"/>
      <c r="G37" s="221"/>
      <c r="H37" s="221"/>
      <c r="I37" s="221"/>
      <c r="J37" s="221"/>
      <c r="K37" s="221"/>
    </row>
    <row r="38" spans="2:11" x14ac:dyDescent="0.25">
      <c r="B38" s="215"/>
      <c r="C38" s="221"/>
      <c r="D38" s="221"/>
      <c r="E38" s="221"/>
      <c r="F38" s="221"/>
      <c r="G38" s="221"/>
      <c r="H38" s="221"/>
      <c r="I38" s="221"/>
      <c r="J38" s="221"/>
      <c r="K38" s="221"/>
    </row>
  </sheetData>
  <sheetProtection algorithmName="SHA-512" hashValue="+vcKlvCjjnlp5vvgmQEzDMPsvBDcX2QBH/IE+lJMHpcOjP4RhiAfkv13RMoDe1+vHPhyAJoKebXOwaYBxt03fg==" saltValue="1kT2yflF9ipN3PJO+MSGww==" spinCount="100000" sheet="1" selectLockedCells="1"/>
  <mergeCells count="18">
    <mergeCell ref="C36:K38"/>
    <mergeCell ref="B28:B30"/>
    <mergeCell ref="B32:B34"/>
    <mergeCell ref="B36:B38"/>
    <mergeCell ref="A3:K5"/>
    <mergeCell ref="B7:K9"/>
    <mergeCell ref="A7:A9"/>
    <mergeCell ref="B19:B21"/>
    <mergeCell ref="B24:K26"/>
    <mergeCell ref="A24:A26"/>
    <mergeCell ref="C11:K13"/>
    <mergeCell ref="C15:K17"/>
    <mergeCell ref="C19:K21"/>
    <mergeCell ref="B11:B13"/>
    <mergeCell ref="B15:B17"/>
    <mergeCell ref="C1:K1"/>
    <mergeCell ref="C28:K30"/>
    <mergeCell ref="C32:K34"/>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E2577D-6233-40F5-89F5-4BF17E0BF31C}">
  <dimension ref="A1:H40"/>
  <sheetViews>
    <sheetView workbookViewId="0">
      <selection activeCell="M17" sqref="M17"/>
    </sheetView>
  </sheetViews>
  <sheetFormatPr defaultRowHeight="15" x14ac:dyDescent="0.25"/>
  <cols>
    <col min="1" max="1" width="10.7109375" customWidth="1"/>
    <col min="2" max="3" width="15.7109375" customWidth="1"/>
    <col min="4" max="5" width="5.7109375" customWidth="1"/>
    <col min="6" max="8" width="10.7109375" customWidth="1"/>
  </cols>
  <sheetData>
    <row r="1" spans="1:8" ht="23.25" x14ac:dyDescent="0.35">
      <c r="A1" s="199" t="s">
        <v>223</v>
      </c>
      <c r="B1" s="199"/>
      <c r="C1" s="199"/>
      <c r="D1" s="199"/>
      <c r="E1" s="199"/>
      <c r="F1" s="199"/>
      <c r="G1" s="199"/>
      <c r="H1" s="199"/>
    </row>
    <row r="2" spans="1:8" x14ac:dyDescent="0.25">
      <c r="A2" s="234" t="s">
        <v>224</v>
      </c>
      <c r="B2" s="250"/>
      <c r="C2" s="250"/>
      <c r="D2" s="250"/>
      <c r="E2" s="250"/>
      <c r="F2" s="250"/>
      <c r="G2" s="250"/>
      <c r="H2" s="250"/>
    </row>
    <row r="3" spans="1:8" s="28" customFormat="1" x14ac:dyDescent="0.25">
      <c r="A3" s="251" t="s">
        <v>211</v>
      </c>
      <c r="B3" s="252"/>
      <c r="C3" s="126" t="str">
        <f>_xlfn.SINGLE(Callsign)</f>
        <v>WA4KFZ</v>
      </c>
      <c r="D3" s="127"/>
      <c r="E3" s="127"/>
      <c r="F3" s="128" t="s">
        <v>210</v>
      </c>
      <c r="G3" s="129">
        <f ca="1">DateField</f>
        <v>44583</v>
      </c>
      <c r="H3" s="130"/>
    </row>
    <row r="4" spans="1:8" s="28" customFormat="1" x14ac:dyDescent="0.25">
      <c r="A4" s="247" t="s">
        <v>212</v>
      </c>
      <c r="B4" s="248"/>
      <c r="C4" s="131" t="str">
        <f>WavelengthBand</f>
        <v>40m</v>
      </c>
      <c r="D4" s="132"/>
      <c r="E4" s="132"/>
      <c r="F4" s="133" t="s">
        <v>213</v>
      </c>
      <c r="G4" s="131">
        <f>SetupNumber</f>
        <v>1</v>
      </c>
      <c r="H4" s="134"/>
    </row>
    <row r="5" spans="1:8" x14ac:dyDescent="0.25">
      <c r="A5" s="234" t="s">
        <v>214</v>
      </c>
      <c r="B5" s="234"/>
      <c r="C5" s="234"/>
      <c r="D5" s="234"/>
      <c r="E5" s="234"/>
      <c r="F5" s="234"/>
      <c r="G5" s="234"/>
      <c r="H5" s="234"/>
    </row>
    <row r="6" spans="1:8" ht="15" customHeight="1" x14ac:dyDescent="0.25">
      <c r="A6" s="222" t="s">
        <v>95</v>
      </c>
      <c r="B6" s="223"/>
      <c r="C6" s="223"/>
      <c r="D6" s="223"/>
      <c r="E6" s="223"/>
      <c r="F6" s="223"/>
      <c r="G6" s="223"/>
      <c r="H6" s="224"/>
    </row>
    <row r="7" spans="1:8" x14ac:dyDescent="0.25">
      <c r="A7" s="225"/>
      <c r="B7" s="226"/>
      <c r="C7" s="226"/>
      <c r="D7" s="226"/>
      <c r="E7" s="226"/>
      <c r="F7" s="226"/>
      <c r="G7" s="226"/>
      <c r="H7" s="227"/>
    </row>
    <row r="8" spans="1:8" ht="30.75" customHeight="1" x14ac:dyDescent="0.25">
      <c r="A8" s="228"/>
      <c r="B8" s="229"/>
      <c r="C8" s="229"/>
      <c r="D8" s="229"/>
      <c r="E8" s="229"/>
      <c r="F8" s="229"/>
      <c r="G8" s="229"/>
      <c r="H8" s="230"/>
    </row>
    <row r="9" spans="1:8" x14ac:dyDescent="0.25">
      <c r="A9" s="234" t="s">
        <v>215</v>
      </c>
      <c r="B9" s="249"/>
      <c r="C9" s="249"/>
      <c r="D9" s="249"/>
      <c r="E9" s="249"/>
      <c r="F9" s="249"/>
      <c r="G9" s="249"/>
      <c r="H9" s="249"/>
    </row>
    <row r="10" spans="1:8" ht="15" customHeight="1" x14ac:dyDescent="0.25">
      <c r="A10" s="235" t="str">
        <f>SelectionConclusion1</f>
        <v>[  X  ]</v>
      </c>
      <c r="B10" s="222" t="s">
        <v>220</v>
      </c>
      <c r="C10" s="223"/>
      <c r="D10" s="223"/>
      <c r="E10" s="223"/>
      <c r="F10" s="223"/>
      <c r="G10" s="223"/>
      <c r="H10" s="224"/>
    </row>
    <row r="11" spans="1:8" x14ac:dyDescent="0.25">
      <c r="A11" s="235"/>
      <c r="B11" s="225"/>
      <c r="C11" s="226"/>
      <c r="D11" s="226"/>
      <c r="E11" s="226"/>
      <c r="F11" s="226"/>
      <c r="G11" s="226"/>
      <c r="H11" s="227"/>
    </row>
    <row r="12" spans="1:8" x14ac:dyDescent="0.25">
      <c r="A12" s="235"/>
      <c r="B12" s="228"/>
      <c r="C12" s="229"/>
      <c r="D12" s="229"/>
      <c r="E12" s="229"/>
      <c r="F12" s="229"/>
      <c r="G12" s="229"/>
      <c r="H12" s="230"/>
    </row>
    <row r="13" spans="1:8" x14ac:dyDescent="0.25">
      <c r="A13" s="124"/>
      <c r="B13" s="231"/>
      <c r="C13" s="231"/>
      <c r="D13" s="231"/>
      <c r="E13" s="231"/>
      <c r="F13" s="231"/>
      <c r="G13" s="231"/>
      <c r="H13" s="231"/>
    </row>
    <row r="14" spans="1:8" ht="15" customHeight="1" x14ac:dyDescent="0.25">
      <c r="A14" s="232" t="s">
        <v>217</v>
      </c>
      <c r="B14" s="235" t="str">
        <f>SelectionConclusion1A</f>
        <v>[     ]</v>
      </c>
      <c r="C14" s="222" t="s">
        <v>96</v>
      </c>
      <c r="D14" s="223"/>
      <c r="E14" s="223"/>
      <c r="F14" s="223"/>
      <c r="G14" s="223"/>
      <c r="H14" s="224"/>
    </row>
    <row r="15" spans="1:8" x14ac:dyDescent="0.25">
      <c r="A15" s="232"/>
      <c r="B15" s="235"/>
      <c r="C15" s="225"/>
      <c r="D15" s="226"/>
      <c r="E15" s="226"/>
      <c r="F15" s="226"/>
      <c r="G15" s="226"/>
      <c r="H15" s="227"/>
    </row>
    <row r="16" spans="1:8" ht="50.25" customHeight="1" x14ac:dyDescent="0.25">
      <c r="A16" s="232"/>
      <c r="B16" s="235"/>
      <c r="C16" s="228"/>
      <c r="D16" s="229"/>
      <c r="E16" s="229"/>
      <c r="F16" s="229"/>
      <c r="G16" s="229"/>
      <c r="H16" s="230"/>
    </row>
    <row r="17" spans="1:8" x14ac:dyDescent="0.25">
      <c r="A17" s="125"/>
      <c r="B17" s="231"/>
      <c r="C17" s="231"/>
      <c r="D17" s="231"/>
      <c r="E17" s="231"/>
      <c r="F17" s="231"/>
      <c r="G17" s="231"/>
      <c r="H17" s="231"/>
    </row>
    <row r="18" spans="1:8" x14ac:dyDescent="0.25">
      <c r="A18" s="232" t="s">
        <v>218</v>
      </c>
      <c r="B18" s="235" t="str">
        <f>SelectionConclusion1B</f>
        <v>[   X  ]</v>
      </c>
      <c r="C18" s="222" t="s">
        <v>97</v>
      </c>
      <c r="D18" s="223"/>
      <c r="E18" s="223"/>
      <c r="F18" s="223"/>
      <c r="G18" s="223"/>
      <c r="H18" s="224"/>
    </row>
    <row r="19" spans="1:8" x14ac:dyDescent="0.25">
      <c r="A19" s="232"/>
      <c r="B19" s="235"/>
      <c r="C19" s="225"/>
      <c r="D19" s="226"/>
      <c r="E19" s="226"/>
      <c r="F19" s="226"/>
      <c r="G19" s="226"/>
      <c r="H19" s="227"/>
    </row>
    <row r="20" spans="1:8" ht="34.5" customHeight="1" x14ac:dyDescent="0.25">
      <c r="A20" s="232"/>
      <c r="B20" s="235"/>
      <c r="C20" s="228"/>
      <c r="D20" s="229"/>
      <c r="E20" s="229"/>
      <c r="F20" s="229"/>
      <c r="G20" s="229"/>
      <c r="H20" s="230"/>
    </row>
    <row r="21" spans="1:8" x14ac:dyDescent="0.25">
      <c r="A21" s="125"/>
      <c r="B21" s="231"/>
      <c r="C21" s="231"/>
      <c r="D21" s="231"/>
      <c r="E21" s="231"/>
      <c r="F21" s="231"/>
      <c r="G21" s="231"/>
      <c r="H21" s="231"/>
    </row>
    <row r="22" spans="1:8" x14ac:dyDescent="0.25">
      <c r="A22" s="232" t="s">
        <v>219</v>
      </c>
      <c r="B22" s="235" t="str">
        <f>SelectionConclusion1C</f>
        <v>[     ]</v>
      </c>
      <c r="C22" s="220" t="str">
        <f>SelectionConclusion1CText</f>
        <v>(additional text)</v>
      </c>
      <c r="D22" s="220"/>
      <c r="E22" s="220"/>
      <c r="F22" s="220"/>
      <c r="G22" s="220"/>
      <c r="H22" s="220"/>
    </row>
    <row r="23" spans="1:8" x14ac:dyDescent="0.25">
      <c r="A23" s="232"/>
      <c r="B23" s="235"/>
      <c r="C23" s="220"/>
      <c r="D23" s="220"/>
      <c r="E23" s="220"/>
      <c r="F23" s="220"/>
      <c r="G23" s="220"/>
      <c r="H23" s="220"/>
    </row>
    <row r="24" spans="1:8" x14ac:dyDescent="0.25">
      <c r="A24" s="232"/>
      <c r="B24" s="245"/>
      <c r="C24" s="246"/>
      <c r="D24" s="246"/>
      <c r="E24" s="246"/>
      <c r="F24" s="246"/>
      <c r="G24" s="246"/>
      <c r="H24" s="246"/>
    </row>
    <row r="25" spans="1:8" x14ac:dyDescent="0.25">
      <c r="A25" s="234" t="s">
        <v>216</v>
      </c>
      <c r="B25" s="234"/>
      <c r="C25" s="234"/>
      <c r="D25" s="234"/>
      <c r="E25" s="234"/>
      <c r="F25" s="234"/>
      <c r="G25" s="234"/>
      <c r="H25" s="234"/>
    </row>
    <row r="26" spans="1:8" ht="15" customHeight="1" x14ac:dyDescent="0.25">
      <c r="A26" s="235" t="str">
        <f>SelectionConclusion2</f>
        <v>[    ]</v>
      </c>
      <c r="B26" s="222" t="s">
        <v>98</v>
      </c>
      <c r="C26" s="223"/>
      <c r="D26" s="223"/>
      <c r="E26" s="223"/>
      <c r="F26" s="223"/>
      <c r="G26" s="223"/>
      <c r="H26" s="224"/>
    </row>
    <row r="27" spans="1:8" x14ac:dyDescent="0.25">
      <c r="A27" s="235"/>
      <c r="B27" s="225"/>
      <c r="C27" s="226"/>
      <c r="D27" s="226"/>
      <c r="E27" s="226"/>
      <c r="F27" s="226"/>
      <c r="G27" s="226"/>
      <c r="H27" s="227"/>
    </row>
    <row r="28" spans="1:8" x14ac:dyDescent="0.25">
      <c r="A28" s="235"/>
      <c r="B28" s="228"/>
      <c r="C28" s="229"/>
      <c r="D28" s="229"/>
      <c r="E28" s="229"/>
      <c r="F28" s="229"/>
      <c r="G28" s="229"/>
      <c r="H28" s="230"/>
    </row>
    <row r="29" spans="1:8" x14ac:dyDescent="0.25">
      <c r="A29" s="124"/>
      <c r="B29" s="231"/>
      <c r="C29" s="231"/>
      <c r="D29" s="231"/>
      <c r="E29" s="231"/>
      <c r="F29" s="231"/>
      <c r="G29" s="231"/>
      <c r="H29" s="231"/>
    </row>
    <row r="30" spans="1:8" ht="15" customHeight="1" x14ac:dyDescent="0.25">
      <c r="A30" s="232" t="s">
        <v>217</v>
      </c>
      <c r="B30" s="235" t="str">
        <f>SelectionConclusion2A</f>
        <v>[     ]</v>
      </c>
      <c r="C30" s="222" t="s">
        <v>221</v>
      </c>
      <c r="D30" s="223"/>
      <c r="E30" s="223"/>
      <c r="F30" s="223"/>
      <c r="G30" s="223"/>
      <c r="H30" s="224"/>
    </row>
    <row r="31" spans="1:8" x14ac:dyDescent="0.25">
      <c r="A31" s="232"/>
      <c r="B31" s="235"/>
      <c r="C31" s="225"/>
      <c r="D31" s="226"/>
      <c r="E31" s="226"/>
      <c r="F31" s="226"/>
      <c r="G31" s="226"/>
      <c r="H31" s="227"/>
    </row>
    <row r="32" spans="1:8" x14ac:dyDescent="0.25">
      <c r="A32" s="232"/>
      <c r="B32" s="235"/>
      <c r="C32" s="228"/>
      <c r="D32" s="229"/>
      <c r="E32" s="229"/>
      <c r="F32" s="229"/>
      <c r="G32" s="229"/>
      <c r="H32" s="230"/>
    </row>
    <row r="33" spans="1:8" x14ac:dyDescent="0.25">
      <c r="A33" s="125"/>
      <c r="B33" s="231"/>
      <c r="C33" s="231"/>
      <c r="D33" s="231"/>
      <c r="E33" s="231"/>
      <c r="F33" s="231"/>
      <c r="G33" s="231"/>
      <c r="H33" s="231"/>
    </row>
    <row r="34" spans="1:8" ht="15" customHeight="1" x14ac:dyDescent="0.25">
      <c r="A34" s="232" t="s">
        <v>218</v>
      </c>
      <c r="B34" s="235" t="str">
        <f>SelectionConclusion2B</f>
        <v>[     ]</v>
      </c>
      <c r="C34" s="222" t="s">
        <v>222</v>
      </c>
      <c r="D34" s="223"/>
      <c r="E34" s="223"/>
      <c r="F34" s="223"/>
      <c r="G34" s="223"/>
      <c r="H34" s="224"/>
    </row>
    <row r="35" spans="1:8" x14ac:dyDescent="0.25">
      <c r="A35" s="232"/>
      <c r="B35" s="235"/>
      <c r="C35" s="225"/>
      <c r="D35" s="226"/>
      <c r="E35" s="226"/>
      <c r="F35" s="226"/>
      <c r="G35" s="226"/>
      <c r="H35" s="227"/>
    </row>
    <row r="36" spans="1:8" x14ac:dyDescent="0.25">
      <c r="A36" s="232"/>
      <c r="B36" s="235"/>
      <c r="C36" s="228"/>
      <c r="D36" s="229"/>
      <c r="E36" s="229"/>
      <c r="F36" s="229"/>
      <c r="G36" s="229"/>
      <c r="H36" s="230"/>
    </row>
    <row r="37" spans="1:8" x14ac:dyDescent="0.25">
      <c r="A37" s="125"/>
      <c r="B37" s="231"/>
      <c r="C37" s="231"/>
      <c r="D37" s="231"/>
      <c r="E37" s="231"/>
      <c r="F37" s="231"/>
      <c r="G37" s="231"/>
      <c r="H37" s="231"/>
    </row>
    <row r="38" spans="1:8" x14ac:dyDescent="0.25">
      <c r="A38" s="233" t="s">
        <v>219</v>
      </c>
      <c r="B38" s="235" t="str">
        <f>SelectionConclusion2C</f>
        <v>[     ]</v>
      </c>
      <c r="C38" s="236" t="str">
        <f>SelectionConclusion2CText</f>
        <v>(additional text)</v>
      </c>
      <c r="D38" s="237"/>
      <c r="E38" s="237"/>
      <c r="F38" s="237"/>
      <c r="G38" s="237"/>
      <c r="H38" s="238"/>
    </row>
    <row r="39" spans="1:8" x14ac:dyDescent="0.25">
      <c r="A39" s="233"/>
      <c r="B39" s="235"/>
      <c r="C39" s="239"/>
      <c r="D39" s="240"/>
      <c r="E39" s="240"/>
      <c r="F39" s="240"/>
      <c r="G39" s="240"/>
      <c r="H39" s="241"/>
    </row>
    <row r="40" spans="1:8" x14ac:dyDescent="0.25">
      <c r="A40" s="233"/>
      <c r="B40" s="235"/>
      <c r="C40" s="242"/>
      <c r="D40" s="243"/>
      <c r="E40" s="243"/>
      <c r="F40" s="243"/>
      <c r="G40" s="243"/>
      <c r="H40" s="244"/>
    </row>
  </sheetData>
  <sheetProtection algorithmName="SHA-512" hashValue="rh7HuoK9lEzDhtk/1vS7oPQwlikyuS+M0F1+b4wUKeAH7y1wAbrFo7A8liyEiCtGeF9jEcR7nDtdBe0xNpMEvQ==" saltValue="nNRPQDrHkc8P1R4/0T6KUg==" spinCount="100000" sheet="1" selectLockedCells="1"/>
  <mergeCells count="36">
    <mergeCell ref="A1:H1"/>
    <mergeCell ref="B30:B32"/>
    <mergeCell ref="B18:B20"/>
    <mergeCell ref="B22:B24"/>
    <mergeCell ref="A26:A28"/>
    <mergeCell ref="C18:H20"/>
    <mergeCell ref="C22:H24"/>
    <mergeCell ref="B26:H28"/>
    <mergeCell ref="A4:B4"/>
    <mergeCell ref="A10:A12"/>
    <mergeCell ref="B14:B16"/>
    <mergeCell ref="A5:H5"/>
    <mergeCell ref="A9:H9"/>
    <mergeCell ref="A2:H2"/>
    <mergeCell ref="A3:B3"/>
    <mergeCell ref="B13:H13"/>
    <mergeCell ref="A38:A40"/>
    <mergeCell ref="B29:H29"/>
    <mergeCell ref="B33:H33"/>
    <mergeCell ref="B37:H37"/>
    <mergeCell ref="A25:H25"/>
    <mergeCell ref="A30:A32"/>
    <mergeCell ref="B34:B36"/>
    <mergeCell ref="B38:B40"/>
    <mergeCell ref="C30:H32"/>
    <mergeCell ref="C34:H36"/>
    <mergeCell ref="C38:H40"/>
    <mergeCell ref="A6:H8"/>
    <mergeCell ref="B10:H12"/>
    <mergeCell ref="C14:H16"/>
    <mergeCell ref="B17:H17"/>
    <mergeCell ref="A34:A36"/>
    <mergeCell ref="A14:A16"/>
    <mergeCell ref="A18:A20"/>
    <mergeCell ref="A22:A24"/>
    <mergeCell ref="B21:H21"/>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7238EE-B168-4F5C-A7A6-03A0ECDD9266}">
  <dimension ref="A1:S33"/>
  <sheetViews>
    <sheetView workbookViewId="0">
      <selection activeCell="F26" sqref="F26"/>
    </sheetView>
  </sheetViews>
  <sheetFormatPr defaultRowHeight="15" x14ac:dyDescent="0.25"/>
  <cols>
    <col min="1" max="1" width="16.42578125" customWidth="1"/>
    <col min="3" max="3" width="14.5703125" bestFit="1" customWidth="1"/>
    <col min="5" max="5" width="15.42578125" bestFit="1" customWidth="1"/>
    <col min="6" max="6" width="24.7109375" bestFit="1" customWidth="1"/>
    <col min="7" max="7" width="27.140625" bestFit="1" customWidth="1"/>
    <col min="8" max="12" width="27.140625" customWidth="1"/>
    <col min="14" max="14" width="32.85546875" bestFit="1" customWidth="1"/>
    <col min="15" max="15" width="21.5703125" customWidth="1"/>
  </cols>
  <sheetData>
    <row r="1" spans="1:15" x14ac:dyDescent="0.25">
      <c r="A1" s="2" t="s">
        <v>17</v>
      </c>
      <c r="C1" s="4" t="s">
        <v>21</v>
      </c>
      <c r="D1" s="10" t="s">
        <v>22</v>
      </c>
      <c r="E1" s="19" t="s">
        <v>69</v>
      </c>
      <c r="F1" s="19" t="s">
        <v>67</v>
      </c>
      <c r="G1" s="20" t="s">
        <v>68</v>
      </c>
      <c r="H1" s="54" t="s">
        <v>186</v>
      </c>
      <c r="I1" s="54" t="s">
        <v>141</v>
      </c>
      <c r="J1" s="55" t="s">
        <v>142</v>
      </c>
      <c r="K1" s="55" t="s">
        <v>137</v>
      </c>
      <c r="L1" s="55" t="s">
        <v>138</v>
      </c>
      <c r="N1" s="4" t="s">
        <v>50</v>
      </c>
      <c r="O1" s="4" t="s">
        <v>51</v>
      </c>
    </row>
    <row r="2" spans="1:15" x14ac:dyDescent="0.25">
      <c r="A2" t="s">
        <v>18</v>
      </c>
      <c r="C2" s="8" t="s">
        <v>24</v>
      </c>
      <c r="D2" s="5" t="s">
        <v>23</v>
      </c>
      <c r="E2" s="21">
        <v>1.8</v>
      </c>
      <c r="F2" s="21">
        <v>100</v>
      </c>
      <c r="G2" s="22">
        <f>180/E2^2</f>
        <v>55.55555555555555</v>
      </c>
      <c r="H2" s="6">
        <f>300/E2</f>
        <v>166.66666666666666</v>
      </c>
      <c r="I2" s="6">
        <f>H2/(2*PI())</f>
        <v>26.525823848649221</v>
      </c>
      <c r="J2" s="6">
        <f>I2*3.28084</f>
        <v>87.026983915602315</v>
      </c>
      <c r="K2" s="6">
        <f t="shared" ref="K2:K20" si="0">(3450*(DistanceUncontrolledMeters^2))/((E2)^2)</f>
        <v>9583.3333333333321</v>
      </c>
      <c r="L2" s="6">
        <f t="shared" ref="L2:L20" si="1">(3450*DistanceControlledMeters^2)/((E2)^2)</f>
        <v>6655.0925925925922</v>
      </c>
      <c r="N2" s="6" t="s">
        <v>52</v>
      </c>
      <c r="O2" s="16">
        <v>0.4</v>
      </c>
    </row>
    <row r="3" spans="1:15" x14ac:dyDescent="0.25">
      <c r="A3" t="s">
        <v>14</v>
      </c>
      <c r="C3" s="9" t="s">
        <v>25</v>
      </c>
      <c r="D3" s="7">
        <v>500</v>
      </c>
      <c r="E3" s="23">
        <v>3.5</v>
      </c>
      <c r="F3" s="23">
        <f>900/E3^2</f>
        <v>73.469387755102048</v>
      </c>
      <c r="G3" s="24">
        <f t="shared" ref="G3:G11" si="2">180/E3^2</f>
        <v>14.693877551020408</v>
      </c>
      <c r="H3" s="6">
        <f t="shared" ref="H3:H20" si="3">300/E3</f>
        <v>85.714285714285708</v>
      </c>
      <c r="I3" s="6">
        <f t="shared" ref="I3:I20" si="4">H3/(2*PI())</f>
        <v>13.641852265019599</v>
      </c>
      <c r="J3" s="6">
        <f t="shared" ref="J3:J20" si="5">I3*3.28084</f>
        <v>44.756734585166903</v>
      </c>
      <c r="K3" s="6">
        <f t="shared" si="0"/>
        <v>2534.6938775510203</v>
      </c>
      <c r="L3" s="6">
        <f t="shared" si="1"/>
        <v>1760.204081632653</v>
      </c>
      <c r="N3" s="17" t="s">
        <v>53</v>
      </c>
      <c r="O3" s="18">
        <v>0.2</v>
      </c>
    </row>
    <row r="4" spans="1:15" x14ac:dyDescent="0.25">
      <c r="A4" t="s">
        <v>15</v>
      </c>
      <c r="C4" s="9" t="s">
        <v>26</v>
      </c>
      <c r="D4" s="7">
        <v>500</v>
      </c>
      <c r="E4" s="21">
        <v>3.9</v>
      </c>
      <c r="F4" s="21">
        <f t="shared" ref="F4:F11" si="6">900/E4^2</f>
        <v>59.171597633136095</v>
      </c>
      <c r="G4" s="22">
        <f t="shared" si="2"/>
        <v>11.834319526627219</v>
      </c>
      <c r="H4" s="6">
        <f t="shared" si="3"/>
        <v>76.92307692307692</v>
      </c>
      <c r="I4" s="6">
        <f t="shared" si="4"/>
        <v>12.242687930145795</v>
      </c>
      <c r="J4" s="6">
        <f t="shared" si="5"/>
        <v>40.166300268739533</v>
      </c>
      <c r="K4" s="6">
        <f t="shared" si="0"/>
        <v>2041.4201183431953</v>
      </c>
      <c r="L4" s="6">
        <f t="shared" si="1"/>
        <v>1417.6528599605524</v>
      </c>
      <c r="N4" s="6" t="s">
        <v>54</v>
      </c>
      <c r="O4" s="16">
        <v>0.5</v>
      </c>
    </row>
    <row r="5" spans="1:15" x14ac:dyDescent="0.25">
      <c r="A5" t="s">
        <v>16</v>
      </c>
      <c r="C5" s="9" t="s">
        <v>27</v>
      </c>
      <c r="D5" s="7">
        <v>500</v>
      </c>
      <c r="E5" s="23">
        <v>7</v>
      </c>
      <c r="F5" s="23">
        <f t="shared" si="6"/>
        <v>18.367346938775512</v>
      </c>
      <c r="G5" s="24">
        <f t="shared" si="2"/>
        <v>3.6734693877551021</v>
      </c>
      <c r="H5" s="6">
        <f t="shared" si="3"/>
        <v>42.857142857142854</v>
      </c>
      <c r="I5" s="6">
        <f t="shared" si="4"/>
        <v>6.8209261325097996</v>
      </c>
      <c r="J5" s="6">
        <f t="shared" si="5"/>
        <v>22.378367292583452</v>
      </c>
      <c r="K5" s="6">
        <f t="shared" si="0"/>
        <v>633.67346938775506</v>
      </c>
      <c r="L5" s="6">
        <f t="shared" si="1"/>
        <v>440.05102040816325</v>
      </c>
      <c r="N5" s="17" t="s">
        <v>55</v>
      </c>
      <c r="O5" s="18">
        <v>1</v>
      </c>
    </row>
    <row r="6" spans="1:15" x14ac:dyDescent="0.25">
      <c r="C6" s="9" t="s">
        <v>28</v>
      </c>
      <c r="D6" s="7">
        <v>425</v>
      </c>
      <c r="E6" s="21">
        <v>10.1</v>
      </c>
      <c r="F6" s="21">
        <f t="shared" si="6"/>
        <v>8.8226644446622888</v>
      </c>
      <c r="G6" s="22">
        <f t="shared" si="2"/>
        <v>1.7645328889324579</v>
      </c>
      <c r="H6" s="6">
        <f t="shared" si="3"/>
        <v>29.702970297029704</v>
      </c>
      <c r="I6" s="6">
        <f t="shared" si="4"/>
        <v>4.7273745472840201</v>
      </c>
      <c r="J6" s="6">
        <f t="shared" si="5"/>
        <v>15.509759509711305</v>
      </c>
      <c r="K6" s="6">
        <f t="shared" si="0"/>
        <v>304.38192334084897</v>
      </c>
      <c r="L6" s="6">
        <f t="shared" si="1"/>
        <v>211.37633565336733</v>
      </c>
      <c r="N6" s="6" t="s">
        <v>56</v>
      </c>
      <c r="O6" s="16">
        <v>1</v>
      </c>
    </row>
    <row r="7" spans="1:15" x14ac:dyDescent="0.25">
      <c r="C7" s="9" t="s">
        <v>29</v>
      </c>
      <c r="D7" s="7">
        <v>225</v>
      </c>
      <c r="E7" s="23">
        <v>14</v>
      </c>
      <c r="F7" s="23">
        <f t="shared" si="6"/>
        <v>4.591836734693878</v>
      </c>
      <c r="G7" s="24">
        <f t="shared" si="2"/>
        <v>0.91836734693877553</v>
      </c>
      <c r="H7" s="6">
        <f t="shared" si="3"/>
        <v>21.428571428571427</v>
      </c>
      <c r="I7" s="6">
        <f t="shared" si="4"/>
        <v>3.4104630662548998</v>
      </c>
      <c r="J7" s="6">
        <f t="shared" si="5"/>
        <v>11.189183646291726</v>
      </c>
      <c r="K7" s="6">
        <f t="shared" si="0"/>
        <v>158.41836734693877</v>
      </c>
      <c r="L7" s="6">
        <f t="shared" si="1"/>
        <v>110.01275510204081</v>
      </c>
      <c r="N7" s="17" t="s">
        <v>57</v>
      </c>
      <c r="O7" s="18">
        <v>1</v>
      </c>
    </row>
    <row r="8" spans="1:15" x14ac:dyDescent="0.25">
      <c r="C8" s="9" t="s">
        <v>30</v>
      </c>
      <c r="D8" s="7">
        <v>125</v>
      </c>
      <c r="E8" s="21">
        <v>18.100000000000001</v>
      </c>
      <c r="F8" s="21">
        <f t="shared" si="6"/>
        <v>2.7471688898385271</v>
      </c>
      <c r="G8" s="22">
        <f t="shared" si="2"/>
        <v>0.54943377796770543</v>
      </c>
      <c r="H8" s="6">
        <f t="shared" si="3"/>
        <v>16.574585635359114</v>
      </c>
      <c r="I8" s="6">
        <f t="shared" si="4"/>
        <v>2.6379272335673258</v>
      </c>
      <c r="J8" s="6">
        <f t="shared" si="5"/>
        <v>8.6546171849770257</v>
      </c>
      <c r="K8" s="6">
        <f t="shared" si="0"/>
        <v>94.777326699429182</v>
      </c>
      <c r="L8" s="6">
        <f t="shared" si="1"/>
        <v>65.817587985714709</v>
      </c>
      <c r="N8" s="6" t="s">
        <v>58</v>
      </c>
      <c r="O8" s="16">
        <v>1</v>
      </c>
    </row>
    <row r="9" spans="1:15" x14ac:dyDescent="0.25">
      <c r="C9" s="9" t="s">
        <v>31</v>
      </c>
      <c r="D9" s="7">
        <v>100</v>
      </c>
      <c r="E9" s="23">
        <v>21</v>
      </c>
      <c r="F9" s="23">
        <f t="shared" si="6"/>
        <v>2.0408163265306123</v>
      </c>
      <c r="G9" s="24">
        <f t="shared" si="2"/>
        <v>0.40816326530612246</v>
      </c>
      <c r="H9" s="6">
        <f t="shared" si="3"/>
        <v>14.285714285714286</v>
      </c>
      <c r="I9" s="6">
        <f t="shared" si="4"/>
        <v>2.2736420441699337</v>
      </c>
      <c r="J9" s="6">
        <f t="shared" si="5"/>
        <v>7.4594557641944848</v>
      </c>
      <c r="K9" s="6">
        <f t="shared" si="0"/>
        <v>70.408163265306129</v>
      </c>
      <c r="L9" s="6">
        <f t="shared" si="1"/>
        <v>48.894557823129254</v>
      </c>
      <c r="N9" s="17" t="s">
        <v>59</v>
      </c>
      <c r="O9" s="18">
        <v>0.5</v>
      </c>
    </row>
    <row r="10" spans="1:15" x14ac:dyDescent="0.25">
      <c r="C10" s="9" t="s">
        <v>32</v>
      </c>
      <c r="D10" s="7">
        <v>75</v>
      </c>
      <c r="E10" s="21">
        <v>24.9</v>
      </c>
      <c r="F10" s="21">
        <f t="shared" si="6"/>
        <v>1.4515894904920892</v>
      </c>
      <c r="G10" s="22">
        <f t="shared" si="2"/>
        <v>0.29031789809841785</v>
      </c>
      <c r="H10" s="6">
        <f t="shared" si="3"/>
        <v>12.048192771084338</v>
      </c>
      <c r="I10" s="6">
        <f t="shared" si="4"/>
        <v>1.9175294348421126</v>
      </c>
      <c r="J10" s="6">
        <f t="shared" si="5"/>
        <v>6.2911072710073963</v>
      </c>
      <c r="K10" s="6">
        <f t="shared" si="0"/>
        <v>50.079837421977075</v>
      </c>
      <c r="L10" s="6">
        <f t="shared" si="1"/>
        <v>34.777664876372967</v>
      </c>
      <c r="N10" s="6" t="s">
        <v>60</v>
      </c>
      <c r="O10" s="16">
        <v>0.3</v>
      </c>
    </row>
    <row r="11" spans="1:15" x14ac:dyDescent="0.25">
      <c r="C11" s="9" t="s">
        <v>33</v>
      </c>
      <c r="D11" s="7">
        <v>50</v>
      </c>
      <c r="E11" s="23">
        <v>28</v>
      </c>
      <c r="F11" s="23">
        <f t="shared" si="6"/>
        <v>1.1479591836734695</v>
      </c>
      <c r="G11" s="24">
        <f t="shared" si="2"/>
        <v>0.22959183673469388</v>
      </c>
      <c r="H11" s="6">
        <f t="shared" si="3"/>
        <v>10.714285714285714</v>
      </c>
      <c r="I11" s="6">
        <f t="shared" si="4"/>
        <v>1.7052315331274499</v>
      </c>
      <c r="J11" s="6">
        <f t="shared" si="5"/>
        <v>5.5945918231458629</v>
      </c>
      <c r="K11" s="6">
        <f t="shared" si="0"/>
        <v>39.604591836734691</v>
      </c>
      <c r="L11" s="6">
        <f t="shared" si="1"/>
        <v>27.503188775510203</v>
      </c>
      <c r="N11" s="17" t="s">
        <v>61</v>
      </c>
      <c r="O11" s="18">
        <v>0.6</v>
      </c>
    </row>
    <row r="12" spans="1:15" x14ac:dyDescent="0.25">
      <c r="C12" s="9" t="s">
        <v>34</v>
      </c>
      <c r="D12" s="7">
        <v>50</v>
      </c>
      <c r="E12" s="21">
        <v>50</v>
      </c>
      <c r="F12" s="21">
        <v>1</v>
      </c>
      <c r="G12" s="22">
        <v>0.2</v>
      </c>
      <c r="H12" s="6">
        <f t="shared" si="3"/>
        <v>6</v>
      </c>
      <c r="I12" s="6">
        <f t="shared" si="4"/>
        <v>0.95492965855137202</v>
      </c>
      <c r="J12" s="6">
        <f t="shared" si="5"/>
        <v>3.1329714209616832</v>
      </c>
      <c r="K12" s="6">
        <f t="shared" si="0"/>
        <v>12.42</v>
      </c>
      <c r="L12" s="6">
        <f t="shared" si="1"/>
        <v>8.625</v>
      </c>
      <c r="N12" s="6" t="s">
        <v>62</v>
      </c>
      <c r="O12" s="16">
        <v>0.8</v>
      </c>
    </row>
    <row r="13" spans="1:15" x14ac:dyDescent="0.25">
      <c r="C13" s="9" t="s">
        <v>35</v>
      </c>
      <c r="D13" s="7">
        <v>50</v>
      </c>
      <c r="E13" s="23">
        <v>144</v>
      </c>
      <c r="F13" s="23">
        <v>1</v>
      </c>
      <c r="G13" s="24">
        <v>0.2</v>
      </c>
      <c r="H13" s="6">
        <f t="shared" si="3"/>
        <v>2.0833333333333335</v>
      </c>
      <c r="I13" s="6">
        <f t="shared" si="4"/>
        <v>0.3315727981081153</v>
      </c>
      <c r="J13" s="6">
        <f t="shared" si="5"/>
        <v>1.0878372989450289</v>
      </c>
      <c r="K13" s="6">
        <f t="shared" si="0"/>
        <v>1.4973958333333333</v>
      </c>
      <c r="L13" s="6">
        <f t="shared" si="1"/>
        <v>1.0398582175925926</v>
      </c>
      <c r="N13" s="17" t="s">
        <v>63</v>
      </c>
      <c r="O13" s="18">
        <v>1</v>
      </c>
    </row>
    <row r="14" spans="1:15" x14ac:dyDescent="0.25">
      <c r="C14" s="9" t="s">
        <v>135</v>
      </c>
      <c r="D14" s="7">
        <v>50</v>
      </c>
      <c r="E14" s="23">
        <v>222</v>
      </c>
      <c r="F14" s="23">
        <v>1</v>
      </c>
      <c r="G14" s="24">
        <v>0.2</v>
      </c>
      <c r="H14" s="6">
        <f t="shared" si="3"/>
        <v>1.3513513513513513</v>
      </c>
      <c r="I14" s="6">
        <f t="shared" si="4"/>
        <v>0.21507424742148018</v>
      </c>
      <c r="J14" s="6">
        <f t="shared" si="5"/>
        <v>0.70562419391028908</v>
      </c>
      <c r="K14" s="6">
        <f t="shared" si="0"/>
        <v>0.63002191380569761</v>
      </c>
      <c r="L14" s="6">
        <f t="shared" si="1"/>
        <v>0.43751521792062331</v>
      </c>
    </row>
    <row r="15" spans="1:15" x14ac:dyDescent="0.25">
      <c r="C15" s="9" t="s">
        <v>36</v>
      </c>
      <c r="D15" s="7">
        <v>70</v>
      </c>
      <c r="E15" s="21">
        <v>430</v>
      </c>
      <c r="F15" s="21">
        <f>E15/300</f>
        <v>1.4333333333333333</v>
      </c>
      <c r="G15" s="22">
        <f>E15/1500</f>
        <v>0.28666666666666668</v>
      </c>
      <c r="H15" s="6">
        <f t="shared" si="3"/>
        <v>0.69767441860465118</v>
      </c>
      <c r="I15" s="6">
        <f t="shared" si="4"/>
        <v>0.11103833238969443</v>
      </c>
      <c r="J15" s="6">
        <f t="shared" si="5"/>
        <v>0.3642990024374051</v>
      </c>
      <c r="K15" s="6">
        <f t="shared" si="0"/>
        <v>0.16792861005949161</v>
      </c>
      <c r="L15" s="6">
        <f t="shared" si="1"/>
        <v>0.1166170903190914</v>
      </c>
    </row>
    <row r="16" spans="1:15" x14ac:dyDescent="0.25">
      <c r="C16" s="9" t="s">
        <v>37</v>
      </c>
      <c r="D16" s="7">
        <v>150</v>
      </c>
      <c r="E16" s="23">
        <v>902</v>
      </c>
      <c r="F16" s="23">
        <f t="shared" ref="F16:F17" si="7">E16/300</f>
        <v>3.0066666666666668</v>
      </c>
      <c r="G16" s="24">
        <f t="shared" ref="G16:G17" si="8">E16/1500</f>
        <v>0.60133333333333339</v>
      </c>
      <c r="H16" s="6">
        <f t="shared" si="3"/>
        <v>0.33259423503325941</v>
      </c>
      <c r="I16" s="6">
        <f t="shared" si="4"/>
        <v>5.2934016549410864E-2</v>
      </c>
      <c r="J16" s="6">
        <f t="shared" si="5"/>
        <v>0.17366803885596913</v>
      </c>
      <c r="K16" s="6">
        <f t="shared" si="0"/>
        <v>3.8163529186188858E-2</v>
      </c>
      <c r="L16" s="6">
        <f t="shared" si="1"/>
        <v>2.6502450823742262E-2</v>
      </c>
    </row>
    <row r="17" spans="3:19" x14ac:dyDescent="0.25">
      <c r="C17" s="9" t="s">
        <v>38</v>
      </c>
      <c r="D17" s="7">
        <v>200</v>
      </c>
      <c r="E17" s="21">
        <v>1240</v>
      </c>
      <c r="F17" s="21">
        <f t="shared" si="7"/>
        <v>4.1333333333333337</v>
      </c>
      <c r="G17" s="22">
        <f t="shared" si="8"/>
        <v>0.82666666666666666</v>
      </c>
      <c r="H17" s="6">
        <f t="shared" si="3"/>
        <v>0.24193548387096775</v>
      </c>
      <c r="I17" s="6">
        <f t="shared" si="4"/>
        <v>3.8505228167394039E-2</v>
      </c>
      <c r="J17" s="6">
        <f t="shared" si="5"/>
        <v>0.12632949278071307</v>
      </c>
      <c r="K17" s="6">
        <f t="shared" si="0"/>
        <v>2.0193808532778357E-2</v>
      </c>
      <c r="L17" s="6">
        <f t="shared" si="1"/>
        <v>1.4023478147762747E-2</v>
      </c>
    </row>
    <row r="18" spans="3:19" x14ac:dyDescent="0.25">
      <c r="C18" s="9" t="s">
        <v>39</v>
      </c>
      <c r="D18" s="7">
        <v>250</v>
      </c>
      <c r="E18" s="23">
        <v>2300</v>
      </c>
      <c r="F18" s="23">
        <v>5</v>
      </c>
      <c r="G18" s="24">
        <v>1</v>
      </c>
      <c r="H18" s="6">
        <f t="shared" si="3"/>
        <v>0.13043478260869565</v>
      </c>
      <c r="I18" s="6">
        <f t="shared" si="4"/>
        <v>2.0759340403290697E-2</v>
      </c>
      <c r="J18" s="6">
        <f t="shared" si="5"/>
        <v>6.8108074368732244E-2</v>
      </c>
      <c r="K18" s="6">
        <f t="shared" si="0"/>
        <v>5.8695652173913039E-3</v>
      </c>
      <c r="L18" s="6">
        <f t="shared" si="1"/>
        <v>4.076086956521739E-3</v>
      </c>
    </row>
    <row r="19" spans="3:19" x14ac:dyDescent="0.25">
      <c r="C19" s="9" t="s">
        <v>19</v>
      </c>
      <c r="D19" s="7">
        <v>250</v>
      </c>
      <c r="E19" s="21">
        <v>5650</v>
      </c>
      <c r="F19" s="21">
        <v>5</v>
      </c>
      <c r="G19" s="22">
        <v>1</v>
      </c>
      <c r="H19" s="6">
        <f t="shared" si="3"/>
        <v>5.3097345132743362E-2</v>
      </c>
      <c r="I19" s="6">
        <f t="shared" si="4"/>
        <v>8.4507049429324958E-3</v>
      </c>
      <c r="J19" s="6">
        <f t="shared" si="5"/>
        <v>2.7725410804970648E-2</v>
      </c>
      <c r="K19" s="6">
        <f t="shared" si="0"/>
        <v>9.7266818075025449E-4</v>
      </c>
      <c r="L19" s="6">
        <f t="shared" si="1"/>
        <v>6.7546401440989902E-4</v>
      </c>
    </row>
    <row r="20" spans="3:19" x14ac:dyDescent="0.25">
      <c r="C20" s="9" t="s">
        <v>20</v>
      </c>
      <c r="D20" s="7">
        <v>250</v>
      </c>
      <c r="E20" s="25">
        <v>10000</v>
      </c>
      <c r="F20" s="25">
        <v>5</v>
      </c>
      <c r="G20" s="17">
        <v>1</v>
      </c>
      <c r="H20" s="6">
        <f t="shared" si="3"/>
        <v>0.03</v>
      </c>
      <c r="I20" s="6">
        <f t="shared" si="4"/>
        <v>4.7746482927568598E-3</v>
      </c>
      <c r="J20" s="6">
        <f t="shared" si="5"/>
        <v>1.5664857104808416E-2</v>
      </c>
      <c r="K20" s="6">
        <f t="shared" si="0"/>
        <v>3.1050000000000001E-4</v>
      </c>
      <c r="L20" s="6">
        <f t="shared" si="1"/>
        <v>2.15625E-4</v>
      </c>
    </row>
    <row r="21" spans="3:19" x14ac:dyDescent="0.25">
      <c r="S21" t="s">
        <v>71</v>
      </c>
    </row>
    <row r="23" spans="3:19" x14ac:dyDescent="0.25">
      <c r="H23" s="3"/>
    </row>
    <row r="24" spans="3:19" x14ac:dyDescent="0.25">
      <c r="K24" t="s">
        <v>136</v>
      </c>
    </row>
    <row r="25" spans="3:19" x14ac:dyDescent="0.25">
      <c r="K25" t="s">
        <v>156</v>
      </c>
    </row>
    <row r="26" spans="3:19" x14ac:dyDescent="0.25">
      <c r="K26" t="s">
        <v>157</v>
      </c>
    </row>
    <row r="33" spans="19:19" x14ac:dyDescent="0.25">
      <c r="S33" t="s">
        <v>140</v>
      </c>
    </row>
  </sheetData>
  <sheetProtection algorithmName="SHA-512" hashValue="/9tBJAtGpDeqH2gM3X3Y9S+/x6QX1yB1Tk5vmdMbA3EekxVuv9Zjb+wJ26Z0Fy+6p0ymG13EIM8Hrf8JnBvL6Q==" saltValue="u/bdFQeYdaOipchn1vkDwA==" spinCount="100000" sheet="1" selectLockedCells="1"/>
  <dataValidations count="1">
    <dataValidation type="list" errorStyle="warning" allowBlank="1" showInputMessage="1" showErrorMessage="1" errorTitle="text only" error="text only" promptTitle="Feedline Type" prompt="Type of feedline used" sqref="A1:A5" xr:uid="{7C0A7A89-ADAC-460E-BFEB-44DBA980313C}">
      <formula1>$A$1:$A$5</formula1>
    </dataValidation>
  </dataValidations>
  <pageMargins left="0.7" right="0.7" top="0.75" bottom="0.75" header="0.3" footer="0.3"/>
  <drawing r:id="rId1"/>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4B72E7-DB60-4225-AA5A-5DFD9FA6F760}">
  <dimension ref="A1:E53"/>
  <sheetViews>
    <sheetView workbookViewId="0">
      <selection activeCell="A2" sqref="A2"/>
    </sheetView>
  </sheetViews>
  <sheetFormatPr defaultRowHeight="15" x14ac:dyDescent="0.25"/>
  <cols>
    <col min="1" max="1" width="120.7109375" style="3" customWidth="1"/>
  </cols>
  <sheetData>
    <row r="1" spans="1:5" x14ac:dyDescent="0.25">
      <c r="A1" s="38" t="s">
        <v>129</v>
      </c>
    </row>
    <row r="2" spans="1:5" x14ac:dyDescent="0.25">
      <c r="A2" s="3" t="s">
        <v>107</v>
      </c>
    </row>
    <row r="3" spans="1:5" x14ac:dyDescent="0.25">
      <c r="A3" s="39">
        <v>44583</v>
      </c>
    </row>
    <row r="4" spans="1:5" x14ac:dyDescent="0.25">
      <c r="A4" s="39" t="s">
        <v>275</v>
      </c>
    </row>
    <row r="5" spans="1:5" x14ac:dyDescent="0.25">
      <c r="A5" s="49"/>
    </row>
    <row r="6" spans="1:5" x14ac:dyDescent="0.25">
      <c r="A6" s="46" t="s">
        <v>126</v>
      </c>
    </row>
    <row r="7" spans="1:5" ht="55.5" customHeight="1" x14ac:dyDescent="0.5">
      <c r="A7" s="3" t="s">
        <v>227</v>
      </c>
      <c r="E7" s="146"/>
    </row>
    <row r="8" spans="1:5" ht="30" x14ac:dyDescent="0.25">
      <c r="A8" s="3" t="s">
        <v>226</v>
      </c>
    </row>
    <row r="9" spans="1:5" x14ac:dyDescent="0.25">
      <c r="A9" s="3" t="s">
        <v>228</v>
      </c>
    </row>
    <row r="10" spans="1:5" x14ac:dyDescent="0.25">
      <c r="A10" s="40" t="s">
        <v>114</v>
      </c>
    </row>
    <row r="11" spans="1:5" x14ac:dyDescent="0.25">
      <c r="A11" s="40" t="s">
        <v>115</v>
      </c>
    </row>
    <row r="12" spans="1:5" x14ac:dyDescent="0.25">
      <c r="A12" s="41" t="s">
        <v>225</v>
      </c>
    </row>
    <row r="13" spans="1:5" x14ac:dyDescent="0.25">
      <c r="A13" s="48"/>
    </row>
    <row r="14" spans="1:5" x14ac:dyDescent="0.25">
      <c r="A14" s="47" t="s">
        <v>128</v>
      </c>
    </row>
    <row r="15" spans="1:5" x14ac:dyDescent="0.25">
      <c r="A15" s="40" t="s">
        <v>116</v>
      </c>
    </row>
    <row r="16" spans="1:5" x14ac:dyDescent="0.25">
      <c r="A16" s="40" t="s">
        <v>229</v>
      </c>
    </row>
    <row r="17" spans="1:1" x14ac:dyDescent="0.25">
      <c r="A17" s="40" t="s">
        <v>117</v>
      </c>
    </row>
    <row r="18" spans="1:1" x14ac:dyDescent="0.25">
      <c r="A18" s="40" t="s">
        <v>230</v>
      </c>
    </row>
    <row r="19" spans="1:1" ht="30" x14ac:dyDescent="0.25">
      <c r="A19" s="40" t="s">
        <v>118</v>
      </c>
    </row>
    <row r="20" spans="1:1" x14ac:dyDescent="0.25">
      <c r="A20" s="40" t="s">
        <v>231</v>
      </c>
    </row>
    <row r="21" spans="1:1" ht="30" x14ac:dyDescent="0.25">
      <c r="A21" s="40" t="s">
        <v>132</v>
      </c>
    </row>
    <row r="22" spans="1:1" ht="30" x14ac:dyDescent="0.25">
      <c r="A22" s="40" t="s">
        <v>119</v>
      </c>
    </row>
    <row r="23" spans="1:1" x14ac:dyDescent="0.25">
      <c r="A23" s="40" t="s">
        <v>120</v>
      </c>
    </row>
    <row r="24" spans="1:1" x14ac:dyDescent="0.25">
      <c r="A24" s="3" t="s">
        <v>133</v>
      </c>
    </row>
    <row r="25" spans="1:1" x14ac:dyDescent="0.25">
      <c r="A25" s="48"/>
    </row>
    <row r="26" spans="1:1" x14ac:dyDescent="0.25">
      <c r="A26" s="47" t="s">
        <v>121</v>
      </c>
    </row>
    <row r="27" spans="1:1" x14ac:dyDescent="0.25">
      <c r="A27" s="3" t="s">
        <v>112</v>
      </c>
    </row>
    <row r="28" spans="1:1" x14ac:dyDescent="0.25">
      <c r="A28" s="42" t="s">
        <v>122</v>
      </c>
    </row>
    <row r="29" spans="1:1" x14ac:dyDescent="0.25">
      <c r="A29" s="43" t="s">
        <v>123</v>
      </c>
    </row>
    <row r="30" spans="1:1" x14ac:dyDescent="0.25">
      <c r="A30" s="44" t="s">
        <v>124</v>
      </c>
    </row>
    <row r="31" spans="1:1" x14ac:dyDescent="0.25">
      <c r="A31" s="45" t="s">
        <v>125</v>
      </c>
    </row>
    <row r="33" spans="1:1" x14ac:dyDescent="0.25">
      <c r="A33" s="3" t="s">
        <v>113</v>
      </c>
    </row>
    <row r="34" spans="1:1" x14ac:dyDescent="0.25">
      <c r="A34" s="48"/>
    </row>
    <row r="35" spans="1:1" x14ac:dyDescent="0.25">
      <c r="A35" s="47" t="s">
        <v>127</v>
      </c>
    </row>
    <row r="36" spans="1:1" ht="30" x14ac:dyDescent="0.25">
      <c r="A36" s="3" t="s">
        <v>232</v>
      </c>
    </row>
    <row r="37" spans="1:1" ht="45" x14ac:dyDescent="0.25">
      <c r="A37" s="3" t="s">
        <v>233</v>
      </c>
    </row>
    <row r="38" spans="1:1" x14ac:dyDescent="0.25">
      <c r="A38" s="50" t="s">
        <v>130</v>
      </c>
    </row>
    <row r="39" spans="1:1" ht="60" x14ac:dyDescent="0.25">
      <c r="A39" s="3" t="s">
        <v>234</v>
      </c>
    </row>
    <row r="40" spans="1:1" ht="60" x14ac:dyDescent="0.25">
      <c r="A40" s="3" t="s">
        <v>235</v>
      </c>
    </row>
    <row r="41" spans="1:1" x14ac:dyDescent="0.25">
      <c r="A41" s="3" t="s">
        <v>109</v>
      </c>
    </row>
    <row r="42" spans="1:1" ht="30" x14ac:dyDescent="0.25">
      <c r="A42" s="3" t="s">
        <v>236</v>
      </c>
    </row>
    <row r="43" spans="1:1" x14ac:dyDescent="0.25">
      <c r="A43" s="3" t="s">
        <v>134</v>
      </c>
    </row>
    <row r="44" spans="1:1" x14ac:dyDescent="0.25">
      <c r="A44" s="50" t="s">
        <v>131</v>
      </c>
    </row>
    <row r="45" spans="1:1" ht="30" x14ac:dyDescent="0.25">
      <c r="A45" s="3" t="s">
        <v>110</v>
      </c>
    </row>
    <row r="46" spans="1:1" x14ac:dyDescent="0.25">
      <c r="A46" s="3" t="s">
        <v>111</v>
      </c>
    </row>
    <row r="47" spans="1:1" ht="45" x14ac:dyDescent="0.25">
      <c r="A47" s="3" t="s">
        <v>237</v>
      </c>
    </row>
    <row r="48" spans="1:1" ht="270" x14ac:dyDescent="0.25">
      <c r="A48" s="3" t="s">
        <v>242</v>
      </c>
    </row>
    <row r="49" spans="1:1" ht="60" x14ac:dyDescent="0.25">
      <c r="A49" s="3" t="s">
        <v>238</v>
      </c>
    </row>
    <row r="50" spans="1:1" ht="30" x14ac:dyDescent="0.25">
      <c r="A50" s="3" t="s">
        <v>239</v>
      </c>
    </row>
    <row r="51" spans="1:1" ht="30" x14ac:dyDescent="0.25">
      <c r="A51" s="3" t="s">
        <v>240</v>
      </c>
    </row>
    <row r="52" spans="1:1" x14ac:dyDescent="0.25">
      <c r="A52" s="50" t="s">
        <v>108</v>
      </c>
    </row>
    <row r="53" spans="1:1" x14ac:dyDescent="0.25">
      <c r="A53" s="3" t="s">
        <v>241</v>
      </c>
    </row>
  </sheetData>
  <sheetProtection algorithmName="SHA-512" hashValue="qYc3kY59TJRSUX8LE1hBkmm5aVy7ZwWtuwwgPDOZ6mHWLY6jruXgPfZPBI5SgmEhnhXYC1OMAd9Ub1sBQxSiWA==" saltValue="TjBfjNZHcZI+uvBap1Z45A==" spinCount="100000" sheet="1" objects="1" scenarios="1"/>
  <pageMargins left="0.7" right="0.7" top="0.75" bottom="0.75" header="0.3" footer="0.3"/>
  <pageSetup orientation="landscape" r:id="rId1"/>
  <headerFooter>
    <oddFooter>Page &amp;P of &amp;N</oddFooter>
  </headerFooter>
  <rowBreaks count="1" manualBreakCount="1">
    <brk id="25"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32B1C8-7A2D-4DB6-931B-BCE77A305189}">
  <dimension ref="A1:B2"/>
  <sheetViews>
    <sheetView workbookViewId="0">
      <selection activeCell="A15" sqref="A15"/>
    </sheetView>
  </sheetViews>
  <sheetFormatPr defaultRowHeight="15" x14ac:dyDescent="0.25"/>
  <cols>
    <col min="1" max="1" width="37.140625" bestFit="1" customWidth="1"/>
  </cols>
  <sheetData>
    <row r="1" spans="1:2" x14ac:dyDescent="0.25">
      <c r="A1" t="s">
        <v>84</v>
      </c>
      <c r="B1" t="s">
        <v>83</v>
      </c>
    </row>
    <row r="2" spans="1:2" x14ac:dyDescent="0.25">
      <c r="A2" t="s">
        <v>85</v>
      </c>
    </row>
  </sheetData>
  <sheetProtection algorithmName="SHA-512" hashValue="78U1tqK0H3d4Ak7qFKsshANdS2n7Ii2sSWG2gb8IWAlSpyPVAMbt41Q/JtHE+c4hToJc1cf2HyMm0PQzaEpoog==" saltValue="s0LUT8d+5N2FYC4MspB4eg==" spinCount="100000" sheet="1" objects="1" scenarios="1" selectLockedCell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73</vt:i4>
      </vt:variant>
    </vt:vector>
  </HeadingPairs>
  <TitlesOfParts>
    <vt:vector size="82" baseType="lpstr">
      <vt:lpstr>Initial Determination Worksheet</vt:lpstr>
      <vt:lpstr>Initial Determination Summary</vt:lpstr>
      <vt:lpstr>Routine Evaluation Worksheet</vt:lpstr>
      <vt:lpstr>Routine Evaluation Summary</vt:lpstr>
      <vt:lpstr>Conclusions Worksheet</vt:lpstr>
      <vt:lpstr>Conclusions Summary</vt:lpstr>
      <vt:lpstr>Dropdown List</vt:lpstr>
      <vt:lpstr>Readme</vt:lpstr>
      <vt:lpstr>Password</vt:lpstr>
      <vt:lpstr>AmplifierDescription</vt:lpstr>
      <vt:lpstr>AntennaDescription</vt:lpstr>
      <vt:lpstr>AntennaEfficiency</vt:lpstr>
      <vt:lpstr>AntennaEfficiencyFactor</vt:lpstr>
      <vt:lpstr>AntennaGaindBi</vt:lpstr>
      <vt:lpstr>AntennaGainLinear</vt:lpstr>
      <vt:lpstr>AntennaHeightMeters</vt:lpstr>
      <vt:lpstr>AntennaHeightWavelengths</vt:lpstr>
      <vt:lpstr>AverageAntennaInputPowerW</vt:lpstr>
      <vt:lpstr>AverageRadiatedPowermW</vt:lpstr>
      <vt:lpstr>AverageRadiatedPowerW</vt:lpstr>
      <vt:lpstr>Callsign</vt:lpstr>
      <vt:lpstr>ComplianceControlled</vt:lpstr>
      <vt:lpstr>ComplianceUncontrolled</vt:lpstr>
      <vt:lpstr>CONTROLLED</vt:lpstr>
      <vt:lpstr>ControlledFarFieldTest</vt:lpstr>
      <vt:lpstr>DateField</vt:lpstr>
      <vt:lpstr>DistanceControlledFeet</vt:lpstr>
      <vt:lpstr>DistanceControlledMeters</vt:lpstr>
      <vt:lpstr>DistanceUncontrolledFeet</vt:lpstr>
      <vt:lpstr>DistanceUncontrolledMeters</vt:lpstr>
      <vt:lpstr>DutyCycleFactor</vt:lpstr>
      <vt:lpstr>EmissionType</vt:lpstr>
      <vt:lpstr>EmissionTypeFactor</vt:lpstr>
      <vt:lpstr>EvaluatedBy</vt:lpstr>
      <vt:lpstr>FarFieldTestControlled</vt:lpstr>
      <vt:lpstr>FarFieldTestUncontrolled</vt:lpstr>
      <vt:lpstr>FeedLineComponents</vt:lpstr>
      <vt:lpstr>FeedLineComponentsLoss</vt:lpstr>
      <vt:lpstr>FeedLineLength</vt:lpstr>
      <vt:lpstr>FeedLineLoss</vt:lpstr>
      <vt:lpstr>FeedLineLossSpec</vt:lpstr>
      <vt:lpstr>FeedLineType</vt:lpstr>
      <vt:lpstr>MinDistanceControlledGroundFeet</vt:lpstr>
      <vt:lpstr>MinDistanceControlledGroundMeters</vt:lpstr>
      <vt:lpstr>MinDistanceControlledNoGroundFeet</vt:lpstr>
      <vt:lpstr>MinDistanceControlledNoGroundMeters</vt:lpstr>
      <vt:lpstr>MinDistanceUncontrolledGroundFeet</vt:lpstr>
      <vt:lpstr>MinDistanceUncontrolledGroundMeters</vt:lpstr>
      <vt:lpstr>MinDistanceUncontrolledNoGroundFeet</vt:lpstr>
      <vt:lpstr>MinDistanceUncontrolledNoGroundMeters</vt:lpstr>
      <vt:lpstr>NearFieldRadiusFeet</vt:lpstr>
      <vt:lpstr>NearFieldRadiusMeters</vt:lpstr>
      <vt:lpstr>PEPAntennadBW</vt:lpstr>
      <vt:lpstr>PEPAntennaW</vt:lpstr>
      <vt:lpstr>PEPOutputdBW</vt:lpstr>
      <vt:lpstr>PEPOutputW</vt:lpstr>
      <vt:lpstr>PFDControlledGround</vt:lpstr>
      <vt:lpstr>PFDControlledNoGround</vt:lpstr>
      <vt:lpstr>PFDUncontrolledGround</vt:lpstr>
      <vt:lpstr>PFDUncontrolledNoGround</vt:lpstr>
      <vt:lpstr>'Initial Determination Summary'!Print_Titles</vt:lpstr>
      <vt:lpstr>'Routine Evaluation Summary'!Print_Titles</vt:lpstr>
      <vt:lpstr>SelectionConclusion1</vt:lpstr>
      <vt:lpstr>SelectionConclusion1A</vt:lpstr>
      <vt:lpstr>SelectionConclusion1B</vt:lpstr>
      <vt:lpstr>SelectionConclusion1C</vt:lpstr>
      <vt:lpstr>SelectionConclusion1CText</vt:lpstr>
      <vt:lpstr>SelectionConclusion2</vt:lpstr>
      <vt:lpstr>SelectionConclusion2A</vt:lpstr>
      <vt:lpstr>SelectionConclusion2B</vt:lpstr>
      <vt:lpstr>SelectionConclusion2C</vt:lpstr>
      <vt:lpstr>SelectionConclusion2CText</vt:lpstr>
      <vt:lpstr>SetupDescription</vt:lpstr>
      <vt:lpstr>SetupNumber</vt:lpstr>
      <vt:lpstr>StationLocation</vt:lpstr>
      <vt:lpstr>TransmitDutyCycle</vt:lpstr>
      <vt:lpstr>TransmitOffMinutes</vt:lpstr>
      <vt:lpstr>TransmitOnMinutes</vt:lpstr>
      <vt:lpstr>TransmitterDescription</vt:lpstr>
      <vt:lpstr>UNCONTROLLED</vt:lpstr>
      <vt:lpstr>UncontrolledFarFieldTest</vt:lpstr>
      <vt:lpstr>WavelengthBand</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Mark Braunstein  WA4KFZ</dc:creator>
  <cp:lastModifiedBy>Mark Braunstein</cp:lastModifiedBy>
  <cp:lastPrinted>2022-01-15T18:54:02Z</cp:lastPrinted>
  <dcterms:created xsi:type="dcterms:W3CDTF">2015-06-05T18:17:20Z</dcterms:created>
  <dcterms:modified xsi:type="dcterms:W3CDTF">2022-01-22T19:32:58Z</dcterms:modified>
</cp:coreProperties>
</file>